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090" activeTab="0"/>
  </bookViews>
  <sheets>
    <sheet name="2019-2023" sheetId="1" r:id="rId1"/>
  </sheets>
  <definedNames>
    <definedName name="_xlnm.Print_Area" localSheetId="0">'2019-2023'!$A$1:$J$151</definedName>
  </definedNames>
  <calcPr fullCalcOnLoad="1"/>
</workbook>
</file>

<file path=xl/sharedStrings.xml><?xml version="1.0" encoding="utf-8"?>
<sst xmlns="http://schemas.openxmlformats.org/spreadsheetml/2006/main" count="411" uniqueCount="210">
  <si>
    <t>Заходи Програми</t>
  </si>
  <si>
    <t xml:space="preserve">  № з/п</t>
  </si>
  <si>
    <t>Джерела фінансування</t>
  </si>
  <si>
    <t>Головний розпорядник коштів</t>
  </si>
  <si>
    <t>Обласний бюджет</t>
  </si>
  <si>
    <t>ВСЬОГО ЗА ПРОГРАМОЮ</t>
  </si>
  <si>
    <t>Призначення та виплата іменних стипендій Харківської обласної державної адміністрації та Харківської обласної ради в галузі культури і мистецтва</t>
  </si>
  <si>
    <t>Призначення та виплата щорічних Гранд-премій Харківської обласної державної адміністрації та Харківської обласної ради в галузі культури і мистецтва</t>
  </si>
  <si>
    <t>Призначення та виплата щорічних премій імені О.С.Масельського в галузях культури і мистецтва, фізичної культури і спорту, молодіжної політики</t>
  </si>
  <si>
    <t>Фінансова підтримка театрів, філармоній, художніх і музичних колективів, ансамблів</t>
  </si>
  <si>
    <t xml:space="preserve">Оновлення матеріально-технічної бази театрально-концертних установ (придбання музичних інструментів, пультів для нот, сценічних костюмів, світлового, технічного та звукового обладнання, автобусів)
</t>
  </si>
  <si>
    <t xml:space="preserve">Забезпечення участі творчих аматорських колективів, окремих виконавців та майстрів декоративно – ужиткового мистецтва Харківської області в культурних акціях, фестивалях, конкурсах </t>
  </si>
  <si>
    <t>Поповнення фондів обласних бібліотек друкованими та електронними виданнями</t>
  </si>
  <si>
    <t>Оновлення матеріально-технічної бази обласних бібліотечних закладів (придбання комп’ютерної та оргтехніки, меблів, мультимедійного обладнання та спеціального обладнання для штрихованого кодування фондів, запровадження послуги «Електронна доставка документів»)</t>
  </si>
  <si>
    <t xml:space="preserve">Придбання з метою розповсюдження бібліотечними закладами області збірок за матеріалами Харківського тому всеукраїнського багатотомного енциклопедичного видання «Звід пам’яток історії та культури України» </t>
  </si>
  <si>
    <t>Проведення капітальних та реставраційних ремонтів будівель, приміщень та систем життєзабезпечення, упровадження енергозберігаючих проектів обласних бібліотечних закладів</t>
  </si>
  <si>
    <t>Відзначення щорічною стипендією учнів мистецьких шкіл «Надія Слобожанщини»</t>
  </si>
  <si>
    <t>Організація та проведення конкурсів серед учнів та студентів закладів мистецької освіти області</t>
  </si>
  <si>
    <t>Оновлення матеріально-технічної бази (придбання музичних інструментів, мультимедійного обладнання, оргтехніки, комп’ютерної техніки, концертних костюмів, меблів закладам фахової передвищої освіти сфери культури)</t>
  </si>
  <si>
    <t>4. Мистецька освіта</t>
  </si>
  <si>
    <t>3. Бібліотечна справа</t>
  </si>
  <si>
    <t>2. Клубна діяльність</t>
  </si>
  <si>
    <t>1. Театрально-концертна діяльність</t>
  </si>
  <si>
    <t>5. Музейна справа</t>
  </si>
  <si>
    <t xml:space="preserve">Щорічне відзначення митців премією імені І.Ю. Рєпіна за створення найбільш талановитих реалістичних творів у галузі образотворчого мистецтва
</t>
  </si>
  <si>
    <t>Придбання музейними закладами автотранспорту для перевезення тимчасових і пересувних експозицій, експозиційного та фондового обладнання,  науково-поляризаційних збірок, фондово-облікової документації</t>
  </si>
  <si>
    <t>Забезпечення організації та проведення стаціонарних та тематичних пересувних експозицій</t>
  </si>
  <si>
    <t xml:space="preserve">Підготовка відзначення 300 - річчя з дня  народження Г.С. Сковороди
</t>
  </si>
  <si>
    <t>Інвентаризація об’єктів культурної спадщини (археологія, історія, монументальне мистецтво)</t>
  </si>
  <si>
    <t xml:space="preserve">Створення інформаційної електронної системи об’єктів культурної спадщини </t>
  </si>
  <si>
    <t>Виготовлення та встановлення охоронних дощок, охоронних знаків, інших інформаційних написів на пам'ятках археології, історії та монументального мистецтва</t>
  </si>
  <si>
    <t>Створення і наповнення матеріалами Харківського тому всеукраїнського багатотомного енциклопедичного видання «Звід пам’яток історії та культури України»</t>
  </si>
  <si>
    <t>Ремонт, реставрація, реабілітація, пристосування пам’яток культурної спадщини</t>
  </si>
  <si>
    <t>Участь в регіональних, всеукраїнських, міжнародних заходах, ярмарках, форумах, семінарах, конференціях, салонах та інших заходах туристичного спрямування</t>
  </si>
  <si>
    <t xml:space="preserve">Проведення конкурсу щодо формування туристичного бренду області, а також проведення PR-кампанії з просування обраного бренду. 
Проведення заходів з маркетинговими та рекламними агенціями, ЗМІ з метою популяризації туристичного бренду області
</t>
  </si>
  <si>
    <t>7. Туризм</t>
  </si>
  <si>
    <t>Проведення культурно-мистецьких заходів</t>
  </si>
  <si>
    <t xml:space="preserve">Проведення обласного огляду-конкурсу декоративно-ужиткового мистецтва </t>
  </si>
  <si>
    <t xml:space="preserve">Організація проведення конференцій з питань збереження народної традиційної культури </t>
  </si>
  <si>
    <t>Сприяння у проведенні соціально-культурних, інтерактивних заходів</t>
  </si>
  <si>
    <t xml:space="preserve">Капітальний та реставраційний ремонт будівель, приміщень та систем життєзабезпечення, упровадження енергозберігаючих технологій у закладів фахової передвищої освіти сфери культури
</t>
  </si>
  <si>
    <t>Створення віртуальних 3D-турів як експозиційних музейних закладів області</t>
  </si>
  <si>
    <t>Впровадження сучасних інформаційних, інтелектуальних, аудіо- та відеотехнологій, у музейну діяльність, зокрема створення системи електронного обліку музейних предметів, цифрового реєстру музеїв і закладів музейного типу з актуальною інформацією для популяризації та управління</t>
  </si>
  <si>
    <t>Формування страхового фонду документації закладів культури</t>
  </si>
  <si>
    <t>Забезпечення обстеження об’єктів культурної спадщини та  оренда автотранспорту</t>
  </si>
  <si>
    <t>Створення та наповнення багаточастинного електронного видання - Збірки наукових праць "Салтово-Маяцька археологічна культура"</t>
  </si>
  <si>
    <t>Створення та наповнення багаточастинного електронного видання - Збірки наукових праць "Охорона культурної спадщини України"</t>
  </si>
  <si>
    <t>(+, -), (тис. грн.)</t>
  </si>
  <si>
    <t>Примітка</t>
  </si>
  <si>
    <t>Переоблаштування ОКЗ «ХАРКІВСЬКИЙ ОРГАНІЗАЦІЙНО-МЕТОДИЧНИЙ ЦЕНТР ТУРИЗМУ» та мережі його пунктів відповідно до стандарту Міжнародного стандарту ISO-14785 «Туристичні інформаційні офіси - Туристична інформація і надання послуг». Розробка єдиного стилю оформлення. Проведення навчання персоналу, організація мовних курсів для підвищення кваліфікації</t>
  </si>
  <si>
    <t>Організація національно-патріотичних турів по Харківській області для соціально незахищених верств населення (дітей- сиріт, дітей, позбавлених опіки, інвалідів, людей похилого віку, ветеранів АТО, сімей вимушених переселенців)</t>
  </si>
  <si>
    <t>Сприяння реалізації проектів міжнародної технічної допомоги та програм із залученням коштів іноземних донорських організацій. Підтримка реалізації проектів неприбуткових громадських організацій у сфері туризму</t>
  </si>
  <si>
    <t>Маркуванння мережі веломаршрутів</t>
  </si>
  <si>
    <t>Проведення маркетингової кампанії «Харківщина туристична» шляхом посилення пошукової оптимізації в інтернеті, запуску медійного і таргетованого піару тощо</t>
  </si>
  <si>
    <r>
      <t xml:space="preserve">Забезпечення розроблення та поширення рекламно-інформаційної та сувенірної продукції про туристичний потенціал Харківщини (у тому числі іноземними мовами </t>
    </r>
    <r>
      <rPr>
        <sz val="14"/>
        <color indexed="8"/>
        <rFont val="Times New Roman"/>
        <family val="1"/>
      </rPr>
      <t>та абеткою Брайля</t>
    </r>
    <r>
      <rPr>
        <sz val="14"/>
        <color indexed="8"/>
        <rFont val="Times New Roman"/>
        <family val="1"/>
      </rPr>
      <t>)</t>
    </r>
  </si>
  <si>
    <t>Створення мультимедійної промоції туристичного потенціалу Харківщини та забезпечення демонстрації (у тому числі іноземними мовами)</t>
  </si>
  <si>
    <t>Організація і проведення семінарів, тренінгів, майстер-класів, курсів, "круглих столів", конференцій для представників туристично-рекреаційної сфери, фахівців з питань туризму в органах місцевої влади й громадах, для сільських і селищних голів, незайнятих верств населення (в тому числі господарів приватних садиб, осіб, які мають можливість та бажання займатися сільським зеленим туризмом), туристичної спільноти тощо, а також участь у виїзних заходах</t>
  </si>
  <si>
    <t>Пристосування об’єктів культурної спадщини для організації відвідування особами з інвалідністю (наприклад: поліграфія шрифтом Брайля тощо, відеоекскурсії з сурдоперекладом, аудіо екскурсії та ін.)</t>
  </si>
  <si>
    <t>Організація та проведення для представників туристичної галузі та ЗМІ рекламно-інформаційних турів Харківською областю і містом Харків за напрямками туристичних маршрутів</t>
  </si>
  <si>
    <t>Проведення галузевого туристичного заходу</t>
  </si>
  <si>
    <t>Встановлення  цифрових туристичних інформаційних боксів (сенсорних туристично-інформаційних кіосків)  в зонах активності туристів (із попереднім виготовленням інформаційного наповнення)</t>
  </si>
  <si>
    <t>Оренда транспортного засобу (автобусу) для організації і проведення інфотурів, виїздів до області, інших регіонів України з метою популяризації туристичного потенціалу та формування позитивного іміджу</t>
  </si>
  <si>
    <t>Програма розвитку культури, туризму та охорони нерухомої культурної спадщини Харківської області на 2019-2023 роки, затверджена рішенням обласної ради від 06.12.2018 № 822-VIІ (зі змінами)</t>
  </si>
  <si>
    <t>Поліпшення матеріально-технічної бази ОКЗ "Харківський науково-методичний центр охорони культурної спадщини"</t>
  </si>
  <si>
    <t xml:space="preserve">Поширення інформації щодо туристичної привабливості Харківщини через зовнішню рекламу на території м. Харків, Харківської області, інших регіонів України та за кордоном. Розміщення рекламних фільмів, сюжетів та ін. на телебаченні, радіо, в друкованих виданнях, мережі Інтернет)
</t>
  </si>
  <si>
    <t>% використання коштів</t>
  </si>
  <si>
    <t>Олександр КОСТІН</t>
  </si>
  <si>
    <t>В.о.директора Департаменту</t>
  </si>
  <si>
    <t>Обсяги фінансування на 2019-2023 роки, передбачені Програмою (тис. грн.)</t>
  </si>
  <si>
    <t>Профінансовано у 2019-2023 роках (тис. грн.)</t>
  </si>
  <si>
    <t>Використано коштіву 2019-2023 роках  (тис. грн.)</t>
  </si>
  <si>
    <t>Капітальний та реставраційний ремонт будівель, приміщень та систем життєзабезпечення театрально-концертних установ, упровадження енергозберігаючих проектів</t>
  </si>
  <si>
    <t>Придбання автомобілю КЗ «ОБЛАСНИЙ ОРГАНІЗАЦІЙНО-МЕТОДИЧНИЙ ТЕАТРАЛЬНО-КОНЦЕРТНИЙ ЦЕНТР»</t>
  </si>
  <si>
    <t xml:space="preserve">                                            Інформація про результати виконання та стан фінансування заходів Програми  розвитку культури, туризму та охорони нерухомої культурної спадщини Харківської області на 2019-2023 роки, затвердженої рішенням обласної ради від 06 грудня 2018 року № 822-VII (зі змінами) за 2019-2023 роки</t>
  </si>
  <si>
    <t>Придбання обладнання для створення «Електронної бібліотеки» на базі обласних бібліотек</t>
  </si>
  <si>
    <t xml:space="preserve">Придбання з метою розповсюдження  бібліотечними закладами області книги «Остроумный Основьяненко» Л. Фрізмана </t>
  </si>
  <si>
    <t xml:space="preserve">Придбання з метою розповсюдження  бібліотечними закладами області книги «Малороссийская проза»
Г. Квітки – Основ’яненка
</t>
  </si>
  <si>
    <t xml:space="preserve">Встановлення в обласних бібліотеках відео нагляду та кнопки тривоги </t>
  </si>
  <si>
    <t>Сприяння у створенні належних умов протипожежної безпеки у приміщеннях закладів фахової перед вищої освіти шляхом впровадження систем автоматичного пожежогасіння</t>
  </si>
  <si>
    <t>Проведення ремонтних робіт в музейних закладах області</t>
  </si>
  <si>
    <t>Створення нової експозиції мистецтва XVI- поч. XX ст. в ОКЗ "ХАРКІВСЬКИЙ ХУДОЖНІЙ МУЗЕЙ"</t>
  </si>
  <si>
    <t>Придбання: альбому "Пархомівський художній музей ім. П.Ф.Луньова; альбому-каталогу "І.Ю.Рєпін і Харківщина"; путівника "Харківський художній музей"; наукового видання "Музейний альманах"</t>
  </si>
  <si>
    <t>Приведення до належного стану охоронної сигналізації музею</t>
  </si>
  <si>
    <t xml:space="preserve">Участь у заходах з відзначення 175-річчя від дня народження І.Ю. Рєпіна
</t>
  </si>
  <si>
    <t>Створення нової експозиції під відкритим небом "Давній Чугуїв" у КЗ "ХУДОЖНЬО-МЕМОРІАЛЬНИЙ МУЗЕЙ І.Ю.РЄПІНА" ХАРКІВСЬКОЇ ОБЛАСНОЇ РАДИ</t>
  </si>
  <si>
    <t>Створення системи протипожежної безпеки</t>
  </si>
  <si>
    <t>Виготовлення облікової документації на об’єкти культурної спадщини (паспортизація)</t>
  </si>
  <si>
    <t xml:space="preserve">Проведення охоронних, аварійно-рятувальних та реставраційних робіт на пам’ятці історії місцевого значення «Печерний християнський скит» за рахунок субвенції з обласного бюджету районному бюджету
</t>
  </si>
  <si>
    <t>Проведення регіонального етапу Всеукраїнського огляду-конкурсу клубних закладів у сільській місцевості</t>
  </si>
  <si>
    <t>Проведення обласного огляду-конкурсу аматорів народного мистецтва Харківської області "Слобожанські передзвони"</t>
  </si>
  <si>
    <t>Забезпечення доступності приміщень закладів фахової передвищої освіти для осіб з обмеженими можливостями</t>
  </si>
  <si>
    <t>Створення належної інфраструктури у закладах культури для осіб з обмеженими можливостями</t>
  </si>
  <si>
    <t>Участь обласних комунальних підприємств та закладів мистецтва у грантових проєктах</t>
  </si>
  <si>
    <t>Забезпечення автотранспортом КЗ «ОБЛАСНИЙ ОРГАНІЗАЦІЙНО-МЕТОДИЧНИЙ ЦЕНТР КУЛЬТУРИ І МИСТЕЦТВА»</t>
  </si>
  <si>
    <t>Проведення конкурсу саморобки до 30-річчя незалежності України</t>
  </si>
  <si>
    <t>Проведення конкурсу малюнку і скульптури до 30-річчя незалежності України</t>
  </si>
  <si>
    <t xml:space="preserve">Демонтаж громадського будинку, літ. «В-1», інвентарний номер 10310004, за адресою: м. Харків, вул. Гімназійна набережна, 1-А </t>
  </si>
  <si>
    <t>Створення нової експозиції відділів закордонного та декоративно-ужиткового мистецтва</t>
  </si>
  <si>
    <t>Створення постійно діючої експозиції "Харків ракетно-космічний"</t>
  </si>
  <si>
    <t>Облаштування мережі туристсько-інформаційних пунктів (стійок, боксів, діджитал-елементів та ін.) для презентації туристичного потенціалу в межах поточної роботи та під час проведення культурно-масових заходів</t>
  </si>
  <si>
    <t>Проведення циклу маркетингових досліджень, опитувань в туристичній сфері та аналіз діяльності суб’єктів туристичної галузі</t>
  </si>
  <si>
    <t>Проведення конкурсу короткометражних фільмів до 30-річчя незалежності України</t>
  </si>
  <si>
    <t>Улаштування оглядового майданчика    будівлі – пам'ятки архітектури та містобудування «Будинок Держпромисловості (Держпром)» (охоронний № 200031) за адресою: м. Харків, майдан Свободи, 5</t>
  </si>
  <si>
    <t>Виготовлення проекту автоматичного пожежогасіння сценічного комплексу, майстерень та складських приміщень ОКП "ХАРКІВСЬКИЙ ДЕРЖАВНИЙ АКАДЕМІЧНИЙ ТЕАТР ЛЯЛЬОК ІМ. В.А.АФАНАСЬЄВА"</t>
  </si>
  <si>
    <t>Постанова вистави до 100-річчя з дня заснування ОКЗ «ХАРКІВСЬКИЙ ДЕРЖАВНИЙ АКАДЕМІЧНИЙ УКРАЇНСЬКИЙ ДРАМАТИЧНИЙ ТЕАТР ІМ. Т.Г. ШЕВЧЕНКА»</t>
  </si>
  <si>
    <t>Встановлення меморіальних дощок на будівлі КП "Харківська обласна філармонія"</t>
  </si>
  <si>
    <t>Забезпечення автотранспортом ОКЗ «ХАРКІВСЬКИЙ ОРГАНІЗАЦІЙНО-МЕТОДИЧНИЙ ЦЕНТР ТУРИЗМУ»</t>
  </si>
  <si>
    <t xml:space="preserve">Побудова інтерактивної повнопрофільної експозиції «Харківщина з найдавніших часів до сьогодення» у КЗ «ХАРКІВСЬКИЙ ІСТОРИЧНИЙ МУЗЕЙ ІМЕНІ М.Ф.СУМЦОВА» ХАРКІВСЬКОЇ ОБЛАСНОЇ РАДИ
</t>
  </si>
  <si>
    <t>Департамент культури і туризму Харківської обласної державної адміністрації, ОБЛАСНИЙ НАВЧАЛЬНО-МЕТОДИЧНИЙ ЦЕНТР ПІДВИЩЕННЯ КВАЛІФІКАЦІЇ ПРАЦІВНИКІВ КУЛЬТОСВІТНІХ ЗАКЛАДІВ</t>
  </si>
  <si>
    <t>Департамент культури і туризму Харківської обласної державної адміністрації</t>
  </si>
  <si>
    <t>Департамент культури і туризму Харківської обласної державної адміністрації, КОМУНАЛЬНИЙ ЗАКЛАД "ОБЛАСНИЙ ОРГАНІЗАЦІЙНО-МЕТОДИЧНИЙ ЦЕНТР КУЛЬТУРИ І МИСТЕЦТВА"</t>
  </si>
  <si>
    <t>Департамент культури і туризму Харківської обласної державної адміністрації, ОКЗ "ХАРКІВСЬКИЙ ДЕРЖАВНИЙ АКАДЕМІЧНИЙ УКРАЇНСЬКИЙ ДРАМАТИЧНИЙ ТЕАТР ІМ. Т.Г. ШЕВЧЕНКА"</t>
  </si>
  <si>
    <t>Департамент культури і туризму Харківської обласної державної адміністрації,  КЗ «ОБЛАСНИЙ ОРГАНІЗАЦІЙНО-МЕТОДИЧНИЙ ТЕАТРАЛЬНО-КОНЦЕРТНИЙ ЦЕНТР»</t>
  </si>
  <si>
    <t>Департамент культури і туризму Харківської обласної державної адміністрації, обласні театрально-концертні установи</t>
  </si>
  <si>
    <t>Департамент культури і туризму Харківської обласної державної адміністрації, ОКП "ХАРКІВСЬКИЙ ДЕРЖАВНИЙ АКАДЕМІЧНИЙ ТЕАТР ЛЯЛЬОК ІМ. В.А.АФАНАСЬЄВА"</t>
  </si>
  <si>
    <t>Департамент культури і туризму Харківської обласної державної адміністрації, обласні бібліотечні заклади</t>
  </si>
  <si>
    <t>Департамент культури і туризму Харківської обласної державної адміністрації, ОКЗ "ХАРКІВСЬКА ОБЛАСНА УНІВЕРСАЛЬНА НАУКОВА БІБЛІОТЕКА"</t>
  </si>
  <si>
    <t>Департамент культури і туризму Харківської обласної державної адміністрації, ОКЗ "ХАРКІВСЬКА ОБЛАСНА БІБЛІОТЕКА ДЛЯ ЮНАЦТВА"</t>
  </si>
  <si>
    <t>Департамент культури і туризму Харківської обласної державної адміністрації, ОБЛАСНИЙ НАВЧАЛЬНО-МЕТОДИЧНИЙ ЦЕНТР ПІДВИЩЕННЯ КВАЛІФІКАЦІЇ ПРАЦІВНИКІВ КУЛЬТОСВІТНІХ ЗАКЛАДІВ, заклади фахової передвищої освіти</t>
  </si>
  <si>
    <t>Забезпечення системного підвищення кваліфікації працівників культосвітніх закладів</t>
  </si>
  <si>
    <t>Департамент культури і туризму Харківської обласної державної адміністрації, заклади фахової передвищої освіти</t>
  </si>
  <si>
    <t>Департамент культури і туризму Харківської обласної державної адміністрації, КЗ «ХАРКІВСЬКИЙ ІСТОРИЧНИЙ МУЗЕЙ ІМЕНІ М.Ф.СУМЦОВА» ХАРКІВСЬКОЇ ОБЛАСНОЇ РАДИ</t>
  </si>
  <si>
    <t>Департамент культури і туризму Харківської обласної державної адміністрації, музейні заклади області</t>
  </si>
  <si>
    <t>Департамент культури і туризму Харківської обласної державної адміністрації, ОКЗ "ХАРКІВСЬКИЙ ХУДОЖНІЙ МУЗЕЙ"</t>
  </si>
  <si>
    <t>Департамент культури і туризму Харківської обласної державної адміністрації, ОКЗ "ХАРКІВСЬКИЙ ХУДОЖНІЙ МУЗЕЙ",Харківська обласна фундація "Громадська Альтернатива"</t>
  </si>
  <si>
    <t>Реалізація проекту "Музей без бар`єрів" в межах обласного проекту "Inclusion" (спільно з товариством "Makchet" та Харківською обласною фундацією "Громадська Альтернатива")</t>
  </si>
  <si>
    <t>інші джерела фінансування</t>
  </si>
  <si>
    <t>Департамент культури і туризму Харківської обласної державної адміністрації, КЗ "ХУДОЖНЬО-МЕМОРІАЛЬНИЙ МУЗЕЙ І.Ю. РЄПІНА" ХАРКІВСЬКОЇ ОБЛАСНОЇ РАДИ</t>
  </si>
  <si>
    <t xml:space="preserve">Встановлення систем відеоспостереження та освітлення на території меморіальної садиби - відділу КЗ «ХУДОЖНЬО-МЕМОРІАЛЬНИЙ МУЗЕЙ І.Ю.РЄПІНА» ХАРКІВСЬКОЇ ОБЛАСНОЇ РАДИ
</t>
  </si>
  <si>
    <t>Департамент культури і туризму Харківської обласної державної адміністрації, ОКЗ "НАЦІОНАЛЬНИЙ ЛІТЕРАТУРНО-МЕМОРІАЛЬНИЙ МУЗЕЙ Г.С.СКОВОРОДИ"</t>
  </si>
  <si>
    <t>Реекспозиція зали Другої світової війни у КЗ «Барвінківський краєзнавчий музей»</t>
  </si>
  <si>
    <t>Реекспозиція зали післявоєнного розвитку Барвінківщини КЗ «Барвінківський краєзнавчий музей»</t>
  </si>
  <si>
    <t>Ремонт даху приміщення КЗ «Барвінківський краєзнавчий музей»</t>
  </si>
  <si>
    <t>Оновлення експозиції «Українська революція 1917 – 1921рр.. на Барвінківщині» КЗ «Барвінківський краєзнавчий музей»</t>
  </si>
  <si>
    <t>Створення стаціонарної експозиції подій, пов’язаних із АТО, у КЗ «Барвінківський краєзнавчий музей»</t>
  </si>
  <si>
    <t>Департамент культури і туризму Харківської обласної державної адміністрації, Барвінківська районна державна адміністрація</t>
  </si>
  <si>
    <t>місцевий бюджет</t>
  </si>
  <si>
    <t xml:space="preserve">Департамент культури і туризму Харківської обласної державної адміністрації, Вовчанська районна державна адміністрація,
КЗ «Історико-археологічний музей-заповідник «Верхній Салтів»
</t>
  </si>
  <si>
    <t>Встановлення відеокамер спостереження та облаштування пульту відеоспостере-ження для охоронців КЗ «Історико-археологічний музей-заповідник «Верхній Салтів»</t>
  </si>
  <si>
    <t xml:space="preserve">Встановлення протипожежної сигналізації та закупівля необхідної кількості вогнегасників 
КЗ «Історико-археологічний музей-заповідник «Верхній Салтів»
</t>
  </si>
  <si>
    <t>Ремонт приміщень КЗ «Зміївський краєзнавчий музей»</t>
  </si>
  <si>
    <t xml:space="preserve">Департамент культури і туризму Харківської обласної державної адміністрації, Зміївська районна державна адміністрація,
КЗ «Зміївський краєзнавчий музей»
</t>
  </si>
  <si>
    <t>Створення повнопрофільної експозиції трьох залів КЗ «Зміївський краєзнавчий музей»: «Етнографія рідного краю», «Зміївщина на рубежі двох епох», «На порозі нової ери»</t>
  </si>
  <si>
    <t xml:space="preserve">Встановити пожежну сигналізацію в приміщеннях КЗ «Зміївський краєзнавчий музей», музею бойового братерства у с. Соколове (відділ КЗ «Зміївський краєзнавчий музей»),
Таранівського музею Гвардійців-Широнінців (відділ КЗ «Зміївський краєзнавчий музей»)
</t>
  </si>
  <si>
    <t xml:space="preserve">Матеріально-технічне забезпечення КЗ «Зміївський краєзнавчий музей», музею бойового братерства у с. Соколове (відділ КЗ «Зміївський краєзнавчий музей»),
Таранівського музею Гвардійців-Широнінців (відділ КЗ «Зміївський краєзнавчий музей»)
</t>
  </si>
  <si>
    <t xml:space="preserve">Створення в будинку Синякових (с. Красна Поляна) музею-садиби відомої художниці М.М.Синякової-Урєчиної:
- виготовлення проектно-кошторисної документації, 
- проведення ремонтних робіт
</t>
  </si>
  <si>
    <t>Ремонт системи опалення, устаткування обладнанням краєзнавчого музею смт Слобожанське з метою дотримання температурного режиму, вологості повітря тощо</t>
  </si>
  <si>
    <t xml:space="preserve">Департамент культури і туризму Харківської обласної державної адміністрації, Кегичівська районна державна адміністрація,
Слобожанська селищна рада
</t>
  </si>
  <si>
    <t>місцевий бюджет, інші джерела фінансування</t>
  </si>
  <si>
    <t>Модернізація та встановлення сучасної охоронної сигналізації, протипожежної системи в краєзнавчому музеї  смт Слобожанське</t>
  </si>
  <si>
    <t xml:space="preserve">Департамент культури і туризму Харківської обласної державної адміністрації, заклади культури і мистецтва області
</t>
  </si>
  <si>
    <t>Департамент культури і туризму Харківської обласної державної адміністрації, ОКЗ "ХАРКІВСЬКИЙ НАУКОВО-МЕТОДИЧНИЙ ЦЕНТР ОХОРОНИ КУЛЬТУРНОЇ СПАДЩИНИ"</t>
  </si>
  <si>
    <t>Департамент культури і туризму Харківської обласної державної адміністрації, Департамент капітального будівництва Харківської обласної державної адміністрації</t>
  </si>
  <si>
    <t xml:space="preserve">Департамент культури і туризму Харківської обласної державної адміністрації, Валківська районна державна адміністрація,
Ков’язька селищна рада
</t>
  </si>
  <si>
    <t>Обласний бюджет, місцевий бюджет</t>
  </si>
  <si>
    <t>Оформлення документації на земельну ділянку біля приміщення КЗ «Історико-археологічний музей-заповідник «Верхній Салтів» (виготовлення паспортів на будівлю та земельну ділянку)</t>
  </si>
  <si>
    <t>Здійснення електронної топографічної зйомки Верхньосалтівського комплексу (4 могильники, посад, селище, цитадель, могильник у с. Метайлівка) із погодженням та реєстрацією</t>
  </si>
  <si>
    <t xml:space="preserve">Департамент культури і туризму Харківської обласної державної адміністрації, Кегичівська районна державна адміністрація,
виконавчі органи сільських та селищних рад
</t>
  </si>
  <si>
    <t>Департамент культури і туризму Харківської обласної державної адміністрації, Чугуївська міська рада, КП «Чугуївський комунальний комплекс»</t>
  </si>
  <si>
    <t xml:space="preserve">Проведення ремонтно-реставраційних робіт на пам’ятнику монументального мистецтва місцевого значення І.Ю. Рєпіна, за адресою: вул. Гвардійська, у сквері біля КУ «Чугуївський районний Будинок культури»
</t>
  </si>
  <si>
    <t>Обласний бюджет, інші джерела фінансування</t>
  </si>
  <si>
    <t>Департамент культури і туризму Харківської обласної державної адміністрації, ОКЗ «ХАРКІВСЬКИЙ ОРГАНІЗАЦІЙНО-МЕТОДИЧНИЙ ЦЕНТР ТУРИЗМУ»</t>
  </si>
  <si>
    <t>Департамент культури і туризму Харківської обласної державної адміністрації, ОКЗ «ХАРКІВСЬКИЙ ОРГАНІЗАЦІЙНО-МЕТОДИЧНИЙ ЦЕНТР ТУРИЗМУ», районні державні адміністрації, органи місцевого самоврядування</t>
  </si>
  <si>
    <t>Департамент культури і туризму Харківської обласної державної адміністрації, ОКЗ «ХАРКІВСЬКИЙ ОРГАНІЗАЦІЙНО-МЕТОДИЧНИЙ ЦЕНТР ТУРИЗМУ», обласні комунальні заклади культури</t>
  </si>
  <si>
    <t>Департамент культури і туризму Харківської обласної державної адміністрації; ОКЗ «ХАРКІВСЬКИЙ ОРГАНІЗАЦІЙНО-МЕТОДИЧНИЙ ЦЕНТР ТУРИЗМУ»; обласні комунальні заклади культури; районні державні адміністрації; органи місцевого самоврядування</t>
  </si>
  <si>
    <t>Розроблення та розміщення в місцях туристичної привабливості інформаційних матеріалів щодо:                                                                                                                                                  - забезпечення особистої безпеки;                                                                                                     - профілактики нещасних випадків;                                                                                                    - збереження особистого майна</t>
  </si>
  <si>
    <t>Департамент культури і туризму Харківської обласної державної адміністрації; Головне управління національної поліції у Харківській області; Головне управління Державної служби з надзвичайних ситуацій у Харківській області; Харківський національний університет внутрішніх справ</t>
  </si>
  <si>
    <t>Департамент культури і туризму Харківської обласної державної адміністрації; районні державні адміністрації; міські ради</t>
  </si>
  <si>
    <t>Розміщення в місцях туристичної привабливості контактних даних місцевих правоохоронних органів, рятувальних органів, закладів охорони здоров’я, органів державної влади тощо</t>
  </si>
  <si>
    <t>Забезпечення належного стану охорони публічного порядку та безпеки в місцях туристичної привабливості</t>
  </si>
  <si>
    <t>Департамент культури і туризму Харківської обласної державної адміністрації; Головне управління Національної поліції у Харківській області</t>
  </si>
  <si>
    <t>Забезпечення належного стану безпеки перевезень туристичних груп</t>
  </si>
  <si>
    <t>Департамент культури і туризму Харківської обласної державної адміністрації; Управління патрульної поліції в Харківській області; Головне управління Національної поліції у Харківській області; ДП "Харківський облавтодор"</t>
  </si>
  <si>
    <t>Своєчасне оповіщення через засоби масової інформації про ситуацію на туристичних об`єктах регіону, зокрема про фактори ризику</t>
  </si>
  <si>
    <t>Проведення Всеукраїнської теоретичної конференції молодих учених "Культура та інформаційне суспільство ХХІ століття" (секція 15 "Стан та перспективи розвитку вітчизняного туризму")</t>
  </si>
  <si>
    <t>Департамент культури і туризму Харківської обласної державної адміністрації; Харківська державна академія культури</t>
  </si>
  <si>
    <t>Проведення Всеукраїнського практичного "круглого столу" "Туризм і глобальні проблеми сучасності"</t>
  </si>
  <si>
    <t>Презентація туристичних маршрутів "Екологічні маршрути Харківщини"</t>
  </si>
  <si>
    <t>Департамент культури і туризму Харківської обласної державної адміністрації; Харківський національний університет будівництва та архітектури</t>
  </si>
  <si>
    <t>Розроблення науково-проєктної концепції туристичного центру в історичному кварталі Харкова по вул. Жон мироносиць-Чернишевській, на ділянці між Будинком вчених та реставраційним центром - пам’яткою національного значення; на території, яка підлягає реабілітації з метою приєднання до Центру існуючих пам’яток архітектури</t>
  </si>
  <si>
    <t>Презентація туристичних маршрутів "Сім чудес Харківщини"</t>
  </si>
  <si>
    <t>Організація роботи школи екскурсоводів</t>
  </si>
  <si>
    <t>Департамент культури і туризму Харківської обласної державної адміністрації; Харківський національний технічний університет сільського господарства імені Петра Василенка</t>
  </si>
  <si>
    <t>Підготовка майстрів-реставраторів на базі існуючих професійно-технічних закладів середньої освіти будівельного профілю, зі створенням відповідної матеріально-технічної бази реставраційного виробництва</t>
  </si>
  <si>
    <t>Проведення фестивалю "Гаврилівська палітра", присвяченого пам’яті художниці М.Д. Раєвської-Іванової</t>
  </si>
  <si>
    <t>Департамент культури і туризму Харківської обласної державної адміністрації; Барвінківська районна державна адміністрація</t>
  </si>
  <si>
    <t>Забезпечення виготовлення 13 інформаційних табличок та вказівних знаків по туристичних маршрутах Вовчанського району</t>
  </si>
  <si>
    <t>Департамент культури і туризму Харківської обласної державної адміністрації; Вовчанська районна державна адміністрація</t>
  </si>
  <si>
    <t>Облаштування показово-ігрового майданчика для проведення квестів в КЗ "Історико-археологічний музей-заповідник "Верхній Салтів"</t>
  </si>
  <si>
    <t>Департамент культури і туризму Харківської обласної державної адміністрації; Вовчанська районна державна адміністрація; КЗ "Історико-археологічний музей-заповідник "Верхній Салтів"</t>
  </si>
  <si>
    <t>Облаштування стоянки для автотранспорту біля території КЗ "Історико-археологічний музей-заповідник "Верхній Салтів"</t>
  </si>
  <si>
    <t>Облаштування зони відпочинку для відвідувачів (альтанки) та сучасного туалету (туалетний кіоск) КЗ "Історико-археологічний музей-заповідник "Верхній Салтів"</t>
  </si>
  <si>
    <t>Окультурення туристичних об’єктів (оформлення в’їзду до туроб’єкта, встановлення вивіски з назвою об’єкта, урн для сміття, лавок, альтанок тощо)</t>
  </si>
  <si>
    <t>Департамент культури і туризму Харківської обласної державної адміністрації; Кегичівська районна державна адміністрація; виконавчі органи сільських, селищних рад</t>
  </si>
  <si>
    <t>Створення нових туристичних об’єктів - муралів (художніх композицій у графіті) на фасадах та інших частинах будівель міста</t>
  </si>
  <si>
    <t>Департамент культури і туризму Харківської обласної державної адміністрації; Ізюмська міська рада</t>
  </si>
  <si>
    <t xml:space="preserve">Розроблення, виготовлення та встановлення інформаційних стендів з актуальною інформацією про життя міста та можливості дозвілля в ньому </t>
  </si>
  <si>
    <t>Департамент культури і туризму Харківської обласної державної адміністрації, КЗ "ХАРКІВСЬКИЙ ФАХОВИЙ ВИЩИЙ ХУДОЖНІЙ КОЛЕДЖ" ХОР</t>
  </si>
  <si>
    <t xml:space="preserve">Забезпечення краєзнавчого музею смт Слобожанське комп’ютерною технікою
</t>
  </si>
  <si>
    <t>Департамент культури і туризму Харківської обласної державної адміністрації, КП "ХАРКІВСЬКА КІНОКОМІСІЯ"</t>
  </si>
  <si>
    <t>Департамент культури і туризму Харківської обласної державної адміністрації, КЗ "ХАРКІВСЬКИЙ МУЗИЧНИЙ ФАХОВИЙ  КОЛЕДЖ ім. Б.М. ЛЯТОШИНСЬКОГО" ХОР</t>
  </si>
  <si>
    <t>Розробка науково-проектної документації на реставраційні роботи на пам’ятку садово-паркового мистецтва - англійського парку XVIII ст. на території ОКЗ "НАЦІОНАЛЬНИЙ ЛІТЕРАТУРНО-МЕМОРІАЛЬНИЙ МУЗЕЙ Г.С.СКОВОРОДИ"</t>
  </si>
  <si>
    <t>Проведення робіт з реставрації та консервування пам’ятки історії та монументального мистецтва місцевого значення - "Пам’ятне місце під дубом, пов’язане з життям та творчістю Г.С.Сковороди", із виготовленням дерев’яної захисної конструкції над ним на території ОКЗ "НАЦІОНАЛЬНИЙ ЛІТЕРАТУРНО-МЕМОРІАЛЬНИЙ МУЗЕЙ Г.С.СКОВОРОДИ"</t>
  </si>
  <si>
    <t>Проведення рятівних археологічних робіт на пам’ятках археологічної спадщини, що зазнали руйнувань внаслідок природних та антропогенних факторів</t>
  </si>
  <si>
    <t>6. Охорона нерухомої культурної спадщини (пам’ятки історії, монументального мистецтва та археології)</t>
  </si>
  <si>
    <t>Розробка наукової, проектної та проектно-кошторисної документації для проведення ремонтно-реставраційних та консерваційних робіт на пам’ятках історії та монументального мистецтва</t>
  </si>
  <si>
    <t>Розробка науково-проектної документації щодо визначення меж зон охорони пам’яток (археологія, історія, монументальне мистецтво)</t>
  </si>
  <si>
    <t>Сприяння в облаштуванні й створенні нових об’єктів туристичної інфраструктури (місць для стоянок і короткочасних зупинок туристично-екскурсійних автобусів та авто туристів, зон відпочинку, оглядових майданчиків тощо)</t>
  </si>
  <si>
    <t>Виготовлення (оновлення) і встановлення дорожніх вказівників, інформаційних щитів та туристичних знаків щодо основних туристично-екскурсійних об’єктів, санітарних місць, закладів інфраструктури, туристсько-інформаційних центрів і пунктів та подальше їхнє утримання (й оновлення при пошкодженні). Інформаційне облаштування та маркування туристичних об’єктів області, національної та регіональної мереж туристично-екскурсійних маршрутів шляхом встановлення вказівників, білбордів, сіт-лайтів, лайтбоксів тощо.</t>
  </si>
  <si>
    <t>Промоція туристичних об’єктів-«туристичних магнітів» Харківщини, включаючи виготовлення відеороліків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</si>
</sst>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#,##0.0000"/>
    <numFmt numFmtId="195" formatCode="#,##0.00000"/>
    <numFmt numFmtId="196" formatCode="#,##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_-* #,##0.0\ _г_р_н_._-;\-* #,##0.0\ _г_р_н_._-;_-* &quot;-&quot;??\ _г_р_н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44" fillId="33" borderId="11" xfId="0" applyFont="1" applyFill="1" applyBorder="1" applyAlignment="1">
      <alignment/>
    </xf>
    <xf numFmtId="0" fontId="46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5" fillId="33" borderId="0" xfId="0" applyFont="1" applyFill="1" applyAlignment="1">
      <alignment vertical="center"/>
    </xf>
    <xf numFmtId="188" fontId="45" fillId="33" borderId="0" xfId="0" applyNumberFormat="1" applyFont="1" applyFill="1" applyAlignment="1">
      <alignment/>
    </xf>
    <xf numFmtId="0" fontId="44" fillId="33" borderId="11" xfId="0" applyFont="1" applyFill="1" applyBorder="1" applyAlignment="1">
      <alignment wrapText="1"/>
    </xf>
    <xf numFmtId="197" fontId="46" fillId="33" borderId="0" xfId="0" applyNumberFormat="1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" fontId="45" fillId="33" borderId="0" xfId="0" applyNumberFormat="1" applyFont="1" applyFill="1" applyAlignment="1">
      <alignment/>
    </xf>
    <xf numFmtId="197" fontId="44" fillId="33" borderId="0" xfId="0" applyNumberFormat="1" applyFont="1" applyFill="1" applyAlignment="1">
      <alignment horizontal="center" vertical="center"/>
    </xf>
    <xf numFmtId="197" fontId="45" fillId="33" borderId="0" xfId="0" applyNumberFormat="1" applyFont="1" applyFill="1" applyAlignment="1">
      <alignment/>
    </xf>
    <xf numFmtId="188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top" wrapText="1"/>
    </xf>
    <xf numFmtId="188" fontId="46" fillId="33" borderId="13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97" fontId="44" fillId="33" borderId="0" xfId="0" applyNumberFormat="1" applyFont="1" applyFill="1" applyAlignment="1">
      <alignment/>
    </xf>
    <xf numFmtId="0" fontId="44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193" fontId="45" fillId="33" borderId="0" xfId="0" applyNumberFormat="1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188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203" fontId="44" fillId="33" borderId="13" xfId="6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horizontal="center" vertical="center" wrapText="1"/>
    </xf>
    <xf numFmtId="188" fontId="44" fillId="33" borderId="13" xfId="0" applyNumberFormat="1" applyFont="1" applyFill="1" applyBorder="1" applyAlignment="1">
      <alignment horizontal="center"/>
    </xf>
    <xf numFmtId="188" fontId="44" fillId="33" borderId="11" xfId="0" applyNumberFormat="1" applyFont="1" applyFill="1" applyBorder="1" applyAlignment="1">
      <alignment horizontal="center"/>
    </xf>
    <xf numFmtId="188" fontId="44" fillId="33" borderId="12" xfId="0" applyNumberFormat="1" applyFont="1" applyFill="1" applyBorder="1" applyAlignment="1">
      <alignment horizontal="center"/>
    </xf>
    <xf numFmtId="188" fontId="44" fillId="33" borderId="13" xfId="6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/>
    </xf>
    <xf numFmtId="0" fontId="44" fillId="33" borderId="20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tabSelected="1" view="pageBreakPreview" zoomScale="60" zoomScalePageLayoutView="0" workbookViewId="0" topLeftCell="A1">
      <selection activeCell="K11" sqref="K11:N16"/>
    </sheetView>
  </sheetViews>
  <sheetFormatPr defaultColWidth="9.140625" defaultRowHeight="15"/>
  <cols>
    <col min="1" max="1" width="4.57421875" style="1" customWidth="1"/>
    <col min="2" max="2" width="112.421875" style="2" customWidth="1"/>
    <col min="3" max="3" width="57.28125" style="2" customWidth="1"/>
    <col min="4" max="4" width="17.57421875" style="2" customWidth="1"/>
    <col min="5" max="5" width="20.00390625" style="3" customWidth="1"/>
    <col min="6" max="6" width="21.00390625" style="1" customWidth="1"/>
    <col min="7" max="7" width="17.28125" style="1" customWidth="1"/>
    <col min="8" max="8" width="16.421875" style="2" customWidth="1"/>
    <col min="9" max="9" width="22.7109375" style="2" customWidth="1"/>
    <col min="10" max="10" width="21.140625" style="2" customWidth="1"/>
    <col min="11" max="11" width="15.7109375" style="2" customWidth="1"/>
    <col min="12" max="12" width="17.57421875" style="2" customWidth="1"/>
    <col min="13" max="13" width="10.00390625" style="2" bestFit="1" customWidth="1"/>
    <col min="14" max="14" width="13.7109375" style="2" bestFit="1" customWidth="1"/>
    <col min="15" max="16384" width="9.140625" style="2" customWidth="1"/>
  </cols>
  <sheetData>
    <row r="1" spans="1:10" ht="18.7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33" customHeight="1">
      <c r="A3" s="62" t="s">
        <v>1</v>
      </c>
      <c r="B3" s="62" t="s">
        <v>0</v>
      </c>
      <c r="C3" s="62" t="s">
        <v>3</v>
      </c>
      <c r="D3" s="58" t="s">
        <v>2</v>
      </c>
      <c r="E3" s="66" t="s">
        <v>68</v>
      </c>
      <c r="F3" s="58" t="s">
        <v>69</v>
      </c>
      <c r="G3" s="62" t="s">
        <v>70</v>
      </c>
      <c r="H3" s="58" t="s">
        <v>65</v>
      </c>
      <c r="I3" s="58" t="s">
        <v>47</v>
      </c>
      <c r="J3" s="62" t="s">
        <v>48</v>
      </c>
    </row>
    <row r="4" spans="1:10" ht="101.25" customHeight="1">
      <c r="A4" s="62"/>
      <c r="B4" s="62"/>
      <c r="C4" s="62"/>
      <c r="D4" s="59"/>
      <c r="E4" s="67"/>
      <c r="F4" s="59"/>
      <c r="G4" s="62"/>
      <c r="H4" s="59"/>
      <c r="I4" s="59"/>
      <c r="J4" s="62"/>
    </row>
    <row r="5" spans="1:10" ht="29.25" customHeight="1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ht="16.5" customHeight="1">
      <c r="A6" s="41"/>
      <c r="B6" s="74" t="s">
        <v>22</v>
      </c>
      <c r="C6" s="75"/>
      <c r="D6" s="75"/>
      <c r="E6" s="75"/>
      <c r="F6" s="75"/>
      <c r="G6" s="75"/>
      <c r="H6" s="75"/>
      <c r="I6" s="75"/>
      <c r="J6" s="76"/>
    </row>
    <row r="7" spans="1:14" ht="89.25" customHeight="1">
      <c r="A7" s="14">
        <v>1</v>
      </c>
      <c r="B7" s="19" t="s">
        <v>6</v>
      </c>
      <c r="C7" s="14" t="s">
        <v>108</v>
      </c>
      <c r="D7" s="14" t="s">
        <v>4</v>
      </c>
      <c r="E7" s="47">
        <f>75.3+71.7+71.7+71.7+71.7</f>
        <v>362.09999999999997</v>
      </c>
      <c r="F7" s="38">
        <f>3.6+54+60+54</f>
        <v>171.6</v>
      </c>
      <c r="G7" s="47">
        <f>F7</f>
        <v>171.6</v>
      </c>
      <c r="H7" s="38">
        <v>100</v>
      </c>
      <c r="I7" s="38">
        <f>G7-F7</f>
        <v>0</v>
      </c>
      <c r="J7" s="9"/>
      <c r="N7" s="17"/>
    </row>
    <row r="8" spans="1:10" ht="103.5" customHeight="1">
      <c r="A8" s="14">
        <v>2</v>
      </c>
      <c r="B8" s="19" t="s">
        <v>7</v>
      </c>
      <c r="C8" s="14" t="s">
        <v>110</v>
      </c>
      <c r="D8" s="14" t="s">
        <v>4</v>
      </c>
      <c r="E8" s="47">
        <f>61+61+61+61+61</f>
        <v>305</v>
      </c>
      <c r="F8" s="38">
        <f>50+50+45</f>
        <v>145</v>
      </c>
      <c r="G8" s="47">
        <f>F8</f>
        <v>145</v>
      </c>
      <c r="H8" s="38">
        <v>100</v>
      </c>
      <c r="I8" s="38">
        <f aca="true" t="shared" si="0" ref="I8:I17">G8-F8</f>
        <v>0</v>
      </c>
      <c r="J8" s="9"/>
    </row>
    <row r="9" spans="1:10" ht="97.5" customHeight="1">
      <c r="A9" s="14">
        <v>3</v>
      </c>
      <c r="B9" s="19" t="s">
        <v>8</v>
      </c>
      <c r="C9" s="14" t="s">
        <v>110</v>
      </c>
      <c r="D9" s="14" t="s">
        <v>4</v>
      </c>
      <c r="E9" s="47">
        <f>6.1+6.1+6.1+6.1+6.1</f>
        <v>30.5</v>
      </c>
      <c r="F9" s="38">
        <f>5+5+5</f>
        <v>15</v>
      </c>
      <c r="G9" s="47">
        <f>F9</f>
        <v>15</v>
      </c>
      <c r="H9" s="38">
        <v>100</v>
      </c>
      <c r="I9" s="38">
        <f t="shared" si="0"/>
        <v>0</v>
      </c>
      <c r="J9" s="9"/>
    </row>
    <row r="10" spans="1:10" ht="63" customHeight="1">
      <c r="A10" s="14">
        <v>4</v>
      </c>
      <c r="B10" s="19" t="s">
        <v>36</v>
      </c>
      <c r="C10" s="14" t="s">
        <v>109</v>
      </c>
      <c r="D10" s="14" t="s">
        <v>4</v>
      </c>
      <c r="E10" s="47">
        <f>4500+4500+5750+12325+11000</f>
        <v>38075</v>
      </c>
      <c r="F10" s="38">
        <f>1480.4+970.019+5101.8+7543.735+772.106+2517.623</f>
        <v>18385.683</v>
      </c>
      <c r="G10" s="47">
        <f>15095.954+271.966+2517.623+0.02</f>
        <v>17885.563000000002</v>
      </c>
      <c r="H10" s="38">
        <f>G10/F10*100</f>
        <v>97.27983997113407</v>
      </c>
      <c r="I10" s="38">
        <f t="shared" si="0"/>
        <v>-500.119999999999</v>
      </c>
      <c r="J10" s="9"/>
    </row>
    <row r="11" spans="1:12" ht="60" customHeight="1">
      <c r="A11" s="43">
        <v>5</v>
      </c>
      <c r="B11" s="20" t="s">
        <v>9</v>
      </c>
      <c r="C11" s="14" t="s">
        <v>113</v>
      </c>
      <c r="D11" s="14" t="s">
        <v>4</v>
      </c>
      <c r="E11" s="47">
        <f>145303.1+179282.2+145926+193112.8+162132.5</f>
        <v>825756.6000000001</v>
      </c>
      <c r="F11" s="38">
        <f>103044.9+65573.07+40153.735+301.822+138519.7+184014.595+135956.836+42257.695</f>
        <v>709822.353</v>
      </c>
      <c r="G11" s="47">
        <f>531607.822+135828.74+42257.695</f>
        <v>709694.257</v>
      </c>
      <c r="H11" s="38">
        <f>G11/F11*100</f>
        <v>99.98195379457147</v>
      </c>
      <c r="I11" s="38">
        <f t="shared" si="0"/>
        <v>-128.09600000001956</v>
      </c>
      <c r="J11" s="9"/>
      <c r="K11" s="17"/>
      <c r="L11" s="17"/>
    </row>
    <row r="12" spans="1:11" ht="58.5" customHeight="1">
      <c r="A12" s="43">
        <v>6</v>
      </c>
      <c r="B12" s="19" t="s">
        <v>71</v>
      </c>
      <c r="C12" s="14" t="s">
        <v>113</v>
      </c>
      <c r="D12" s="14" t="s">
        <v>4</v>
      </c>
      <c r="E12" s="47">
        <f>31639.4+44362+650</f>
        <v>76651.4</v>
      </c>
      <c r="F12" s="47">
        <f>99.6</f>
        <v>99.6</v>
      </c>
      <c r="G12" s="38">
        <f>F12</f>
        <v>99.6</v>
      </c>
      <c r="H12" s="38">
        <f>G12/F12*100</f>
        <v>100</v>
      </c>
      <c r="I12" s="38">
        <f t="shared" si="0"/>
        <v>0</v>
      </c>
      <c r="J12" s="12"/>
      <c r="K12" s="17"/>
    </row>
    <row r="13" spans="1:11" ht="102" customHeight="1">
      <c r="A13" s="43">
        <v>7</v>
      </c>
      <c r="B13" s="26" t="s">
        <v>72</v>
      </c>
      <c r="C13" s="14" t="s">
        <v>112</v>
      </c>
      <c r="D13" s="14" t="s">
        <v>4</v>
      </c>
      <c r="E13" s="38">
        <v>600</v>
      </c>
      <c r="F13" s="47">
        <v>594</v>
      </c>
      <c r="G13" s="38">
        <v>594</v>
      </c>
      <c r="H13" s="38">
        <f>G13/F13*100</f>
        <v>100</v>
      </c>
      <c r="I13" s="38">
        <f t="shared" si="0"/>
        <v>0</v>
      </c>
      <c r="J13" s="12"/>
      <c r="K13" s="17"/>
    </row>
    <row r="14" spans="1:14" ht="65.25" customHeight="1">
      <c r="A14" s="43">
        <v>8</v>
      </c>
      <c r="B14" s="21" t="s">
        <v>10</v>
      </c>
      <c r="C14" s="14" t="s">
        <v>113</v>
      </c>
      <c r="D14" s="14" t="s">
        <v>4</v>
      </c>
      <c r="E14" s="48">
        <f>7572+931.3+5481.3+4800.6+15200</f>
        <v>33985.2</v>
      </c>
      <c r="F14" s="48">
        <f>1182.4+120+163.032+1157.216</f>
        <v>2622.648</v>
      </c>
      <c r="G14" s="49">
        <f>F14</f>
        <v>2622.648</v>
      </c>
      <c r="H14" s="38">
        <f>G14/F14*100</f>
        <v>100</v>
      </c>
      <c r="I14" s="38">
        <f>G14-F14</f>
        <v>0</v>
      </c>
      <c r="J14" s="12"/>
      <c r="K14" s="15"/>
      <c r="N14" s="17"/>
    </row>
    <row r="15" spans="1:14" ht="57.75" customHeight="1">
      <c r="A15" s="43">
        <v>9</v>
      </c>
      <c r="B15" s="24" t="s">
        <v>92</v>
      </c>
      <c r="C15" s="14" t="s">
        <v>109</v>
      </c>
      <c r="D15" s="14" t="s">
        <v>4</v>
      </c>
      <c r="E15" s="38">
        <v>1000</v>
      </c>
      <c r="F15" s="38">
        <v>0</v>
      </c>
      <c r="G15" s="38">
        <v>0</v>
      </c>
      <c r="H15" s="38">
        <f>G15/E15*100</f>
        <v>0</v>
      </c>
      <c r="I15" s="38">
        <f t="shared" si="0"/>
        <v>0</v>
      </c>
      <c r="J15" s="9"/>
      <c r="K15" s="15"/>
      <c r="N15" s="17"/>
    </row>
    <row r="16" spans="1:14" ht="93.75" customHeight="1">
      <c r="A16" s="43">
        <v>10</v>
      </c>
      <c r="B16" s="33" t="s">
        <v>103</v>
      </c>
      <c r="C16" s="14" t="s">
        <v>114</v>
      </c>
      <c r="D16" s="14" t="s">
        <v>4</v>
      </c>
      <c r="E16" s="38">
        <v>150</v>
      </c>
      <c r="F16" s="38">
        <v>0</v>
      </c>
      <c r="G16" s="38">
        <v>0</v>
      </c>
      <c r="H16" s="38">
        <f>G16/E16*100</f>
        <v>0</v>
      </c>
      <c r="I16" s="38">
        <f t="shared" si="0"/>
        <v>0</v>
      </c>
      <c r="J16" s="9"/>
      <c r="K16" s="15"/>
      <c r="N16" s="17"/>
    </row>
    <row r="17" spans="1:14" ht="131.25" customHeight="1">
      <c r="A17" s="43">
        <v>11</v>
      </c>
      <c r="B17" s="34" t="s">
        <v>104</v>
      </c>
      <c r="C17" s="14" t="s">
        <v>111</v>
      </c>
      <c r="D17" s="14" t="s">
        <v>4</v>
      </c>
      <c r="E17" s="38">
        <v>250</v>
      </c>
      <c r="F17" s="38">
        <v>0</v>
      </c>
      <c r="G17" s="38">
        <v>0</v>
      </c>
      <c r="H17" s="38">
        <f>G17/E17*100</f>
        <v>0</v>
      </c>
      <c r="I17" s="38">
        <f t="shared" si="0"/>
        <v>0</v>
      </c>
      <c r="J17" s="9"/>
      <c r="K17" s="15"/>
      <c r="N17" s="17"/>
    </row>
    <row r="18" spans="1:14" ht="18.75">
      <c r="A18" s="8"/>
      <c r="B18" s="55" t="s">
        <v>21</v>
      </c>
      <c r="C18" s="56"/>
      <c r="D18" s="56"/>
      <c r="E18" s="56"/>
      <c r="F18" s="56"/>
      <c r="G18" s="56"/>
      <c r="H18" s="56"/>
      <c r="I18" s="56"/>
      <c r="J18" s="57"/>
      <c r="K18" s="15"/>
      <c r="N18" s="17"/>
    </row>
    <row r="19" spans="1:14" ht="93.75">
      <c r="A19" s="8">
        <v>1</v>
      </c>
      <c r="B19" s="32" t="s">
        <v>88</v>
      </c>
      <c r="C19" s="14" t="s">
        <v>110</v>
      </c>
      <c r="D19" s="14" t="s">
        <v>4</v>
      </c>
      <c r="E19" s="38">
        <f>50+50</f>
        <v>100</v>
      </c>
      <c r="F19" s="38">
        <v>0</v>
      </c>
      <c r="G19" s="38">
        <v>0</v>
      </c>
      <c r="H19" s="38">
        <f>G19/E19*100</f>
        <v>0</v>
      </c>
      <c r="I19" s="38">
        <f aca="true" t="shared" si="1" ref="I19:I25">G19-F19</f>
        <v>0</v>
      </c>
      <c r="J19" s="29"/>
      <c r="K19" s="15"/>
      <c r="N19" s="17"/>
    </row>
    <row r="20" spans="1:14" ht="93.75">
      <c r="A20" s="8">
        <v>2</v>
      </c>
      <c r="B20" s="32" t="s">
        <v>89</v>
      </c>
      <c r="C20" s="14" t="s">
        <v>110</v>
      </c>
      <c r="D20" s="14" t="s">
        <v>4</v>
      </c>
      <c r="E20" s="38">
        <f>100+100</f>
        <v>200</v>
      </c>
      <c r="F20" s="38">
        <v>0</v>
      </c>
      <c r="G20" s="38">
        <v>0</v>
      </c>
      <c r="H20" s="38">
        <f>G20/E20*100</f>
        <v>0</v>
      </c>
      <c r="I20" s="38">
        <f t="shared" si="1"/>
        <v>0</v>
      </c>
      <c r="J20" s="29"/>
      <c r="K20" s="15"/>
      <c r="N20" s="17"/>
    </row>
    <row r="21" spans="1:12" ht="104.25" customHeight="1">
      <c r="A21" s="8">
        <v>3</v>
      </c>
      <c r="B21" s="19" t="s">
        <v>37</v>
      </c>
      <c r="C21" s="14" t="s">
        <v>110</v>
      </c>
      <c r="D21" s="14" t="s">
        <v>4</v>
      </c>
      <c r="E21" s="47">
        <f>50+50+50+50+50</f>
        <v>250</v>
      </c>
      <c r="F21" s="38">
        <f>50</f>
        <v>50</v>
      </c>
      <c r="G21" s="47">
        <v>50</v>
      </c>
      <c r="H21" s="38">
        <f>G21/F21*100</f>
        <v>100</v>
      </c>
      <c r="I21" s="38">
        <f t="shared" si="1"/>
        <v>0</v>
      </c>
      <c r="J21" s="8"/>
      <c r="K21" s="15"/>
      <c r="L21" s="17"/>
    </row>
    <row r="22" spans="1:10" ht="93.75">
      <c r="A22" s="8">
        <v>4</v>
      </c>
      <c r="B22" s="19" t="s">
        <v>38</v>
      </c>
      <c r="C22" s="14" t="s">
        <v>110</v>
      </c>
      <c r="D22" s="14" t="s">
        <v>4</v>
      </c>
      <c r="E22" s="47">
        <f>100+100+100+100+100</f>
        <v>500</v>
      </c>
      <c r="F22" s="38">
        <f>50</f>
        <v>50</v>
      </c>
      <c r="G22" s="47">
        <v>50</v>
      </c>
      <c r="H22" s="38">
        <f>G22/F22*100</f>
        <v>100</v>
      </c>
      <c r="I22" s="38">
        <f t="shared" si="1"/>
        <v>0</v>
      </c>
      <c r="J22" s="8"/>
    </row>
    <row r="23" spans="1:10" ht="94.5" customHeight="1">
      <c r="A23" s="8">
        <v>5</v>
      </c>
      <c r="B23" s="19" t="s">
        <v>11</v>
      </c>
      <c r="C23" s="14" t="s">
        <v>110</v>
      </c>
      <c r="D23" s="14" t="s">
        <v>4</v>
      </c>
      <c r="E23" s="47">
        <f>300+300+300+300+300</f>
        <v>1500</v>
      </c>
      <c r="F23" s="38">
        <v>0</v>
      </c>
      <c r="G23" s="47">
        <v>0</v>
      </c>
      <c r="H23" s="38">
        <v>0</v>
      </c>
      <c r="I23" s="38">
        <f t="shared" si="1"/>
        <v>0</v>
      </c>
      <c r="J23" s="8"/>
    </row>
    <row r="24" spans="1:10" ht="93.75" customHeight="1">
      <c r="A24" s="8">
        <v>6</v>
      </c>
      <c r="B24" s="19" t="s">
        <v>93</v>
      </c>
      <c r="C24" s="14" t="s">
        <v>110</v>
      </c>
      <c r="D24" s="14" t="s">
        <v>4</v>
      </c>
      <c r="E24" s="38">
        <f>1000+1000</f>
        <v>2000</v>
      </c>
      <c r="F24" s="38">
        <v>0</v>
      </c>
      <c r="G24" s="38">
        <v>0</v>
      </c>
      <c r="H24" s="38">
        <v>0</v>
      </c>
      <c r="I24" s="38">
        <f t="shared" si="1"/>
        <v>0</v>
      </c>
      <c r="J24" s="8"/>
    </row>
    <row r="25" spans="1:10" ht="95.25" customHeight="1">
      <c r="A25" s="8">
        <v>7</v>
      </c>
      <c r="B25" s="19" t="s">
        <v>94</v>
      </c>
      <c r="C25" s="14" t="s">
        <v>110</v>
      </c>
      <c r="D25" s="14" t="s">
        <v>4</v>
      </c>
      <c r="E25" s="38">
        <v>50</v>
      </c>
      <c r="F25" s="38">
        <v>49.403</v>
      </c>
      <c r="G25" s="38">
        <v>49.403</v>
      </c>
      <c r="H25" s="38">
        <f>G25/F25*100</f>
        <v>100</v>
      </c>
      <c r="I25" s="38">
        <f t="shared" si="1"/>
        <v>0</v>
      </c>
      <c r="J25" s="8"/>
    </row>
    <row r="26" spans="1:10" s="5" customFormat="1" ht="18.75">
      <c r="A26" s="4"/>
      <c r="B26" s="55" t="s">
        <v>20</v>
      </c>
      <c r="C26" s="56"/>
      <c r="D26" s="56"/>
      <c r="E26" s="56"/>
      <c r="F26" s="56"/>
      <c r="G26" s="56"/>
      <c r="H26" s="56"/>
      <c r="I26" s="56"/>
      <c r="J26" s="57"/>
    </row>
    <row r="27" spans="1:10" ht="58.5" customHeight="1">
      <c r="A27" s="8">
        <v>1</v>
      </c>
      <c r="B27" s="19" t="s">
        <v>12</v>
      </c>
      <c r="C27" s="14" t="s">
        <v>115</v>
      </c>
      <c r="D27" s="14" t="s">
        <v>4</v>
      </c>
      <c r="E27" s="47">
        <f>410+540+430+450+520</f>
        <v>2350</v>
      </c>
      <c r="F27" s="38">
        <f>185.2+328.413+132.115</f>
        <v>645.7280000000001</v>
      </c>
      <c r="G27" s="47">
        <f>F27</f>
        <v>645.7280000000001</v>
      </c>
      <c r="H27" s="38">
        <f>G27/F27*100</f>
        <v>100</v>
      </c>
      <c r="I27" s="38">
        <f>G27-F27</f>
        <v>0</v>
      </c>
      <c r="J27" s="9"/>
    </row>
    <row r="28" spans="1:10" ht="58.5" customHeight="1">
      <c r="A28" s="6">
        <v>2</v>
      </c>
      <c r="B28" s="19" t="s">
        <v>74</v>
      </c>
      <c r="C28" s="14" t="s">
        <v>115</v>
      </c>
      <c r="D28" s="14" t="s">
        <v>4</v>
      </c>
      <c r="E28" s="47">
        <f>150+150+150</f>
        <v>450</v>
      </c>
      <c r="F28" s="38">
        <v>0</v>
      </c>
      <c r="G28" s="49">
        <v>0</v>
      </c>
      <c r="H28" s="38">
        <v>0</v>
      </c>
      <c r="I28" s="38">
        <f aca="true" t="shared" si="2" ref="I28:I35">G28-F28</f>
        <v>0</v>
      </c>
      <c r="J28" s="9"/>
    </row>
    <row r="29" spans="1:10" ht="55.5" customHeight="1">
      <c r="A29" s="6">
        <v>3</v>
      </c>
      <c r="B29" s="22" t="s">
        <v>13</v>
      </c>
      <c r="C29" s="14" t="s">
        <v>115</v>
      </c>
      <c r="D29" s="14" t="s">
        <v>4</v>
      </c>
      <c r="E29" s="38">
        <f>572+204+260+194.2+154</f>
        <v>1384.2</v>
      </c>
      <c r="F29" s="38">
        <f>86.495</f>
        <v>86.495</v>
      </c>
      <c r="G29" s="49">
        <f>F29</f>
        <v>86.495</v>
      </c>
      <c r="H29" s="38">
        <f aca="true" t="shared" si="3" ref="H29:H35">G29/F29*100</f>
        <v>100</v>
      </c>
      <c r="I29" s="38">
        <f t="shared" si="2"/>
        <v>0</v>
      </c>
      <c r="J29" s="8"/>
    </row>
    <row r="30" spans="1:11" ht="53.25" customHeight="1">
      <c r="A30" s="6">
        <v>4</v>
      </c>
      <c r="B30" s="22" t="s">
        <v>39</v>
      </c>
      <c r="C30" s="14" t="s">
        <v>115</v>
      </c>
      <c r="D30" s="14" t="s">
        <v>4</v>
      </c>
      <c r="E30" s="38">
        <f>140+147+144+148+142</f>
        <v>721</v>
      </c>
      <c r="F30" s="38">
        <v>0</v>
      </c>
      <c r="G30" s="49">
        <v>0</v>
      </c>
      <c r="H30" s="38">
        <v>0</v>
      </c>
      <c r="I30" s="38">
        <f t="shared" si="2"/>
        <v>0</v>
      </c>
      <c r="J30" s="8"/>
      <c r="K30" s="10"/>
    </row>
    <row r="31" spans="1:10" ht="75" customHeight="1">
      <c r="A31" s="6">
        <v>5</v>
      </c>
      <c r="B31" s="22" t="s">
        <v>14</v>
      </c>
      <c r="C31" s="14" t="s">
        <v>116</v>
      </c>
      <c r="D31" s="14" t="s">
        <v>4</v>
      </c>
      <c r="E31" s="38">
        <f>49.8+49.8+49.8+49.8+49.8</f>
        <v>249</v>
      </c>
      <c r="F31" s="38">
        <v>15</v>
      </c>
      <c r="G31" s="49">
        <f>F31</f>
        <v>15</v>
      </c>
      <c r="H31" s="38">
        <f t="shared" si="3"/>
        <v>100</v>
      </c>
      <c r="I31" s="38">
        <f t="shared" si="2"/>
        <v>0</v>
      </c>
      <c r="J31" s="9"/>
    </row>
    <row r="32" spans="1:10" ht="82.5" customHeight="1">
      <c r="A32" s="6">
        <v>6</v>
      </c>
      <c r="B32" s="19" t="s">
        <v>75</v>
      </c>
      <c r="C32" s="14" t="s">
        <v>116</v>
      </c>
      <c r="D32" s="14" t="s">
        <v>4</v>
      </c>
      <c r="E32" s="38">
        <v>60</v>
      </c>
      <c r="F32" s="38">
        <v>60</v>
      </c>
      <c r="G32" s="38">
        <v>60</v>
      </c>
      <c r="H32" s="38">
        <f t="shared" si="3"/>
        <v>100</v>
      </c>
      <c r="I32" s="38">
        <f t="shared" si="2"/>
        <v>0</v>
      </c>
      <c r="J32" s="9"/>
    </row>
    <row r="33" spans="1:10" ht="81.75" customHeight="1">
      <c r="A33" s="6">
        <v>7</v>
      </c>
      <c r="B33" s="24" t="s">
        <v>76</v>
      </c>
      <c r="C33" s="14" t="s">
        <v>117</v>
      </c>
      <c r="D33" s="14" t="s">
        <v>4</v>
      </c>
      <c r="E33" s="38">
        <v>90</v>
      </c>
      <c r="F33" s="38">
        <v>90</v>
      </c>
      <c r="G33" s="38">
        <v>90</v>
      </c>
      <c r="H33" s="38">
        <f t="shared" si="3"/>
        <v>100</v>
      </c>
      <c r="I33" s="38">
        <f>G33-F33</f>
        <v>0</v>
      </c>
      <c r="J33" s="9"/>
    </row>
    <row r="34" spans="1:10" ht="59.25" customHeight="1">
      <c r="A34" s="6">
        <v>8</v>
      </c>
      <c r="B34" s="22" t="s">
        <v>15</v>
      </c>
      <c r="C34" s="14" t="s">
        <v>115</v>
      </c>
      <c r="D34" s="14" t="s">
        <v>4</v>
      </c>
      <c r="E34" s="38">
        <f>190+200+530+250+240</f>
        <v>1410</v>
      </c>
      <c r="F34" s="38">
        <v>0</v>
      </c>
      <c r="G34" s="49">
        <v>0</v>
      </c>
      <c r="H34" s="38">
        <v>0</v>
      </c>
      <c r="I34" s="38">
        <f t="shared" si="2"/>
        <v>0</v>
      </c>
      <c r="J34" s="9"/>
    </row>
    <row r="35" spans="1:10" ht="55.5" customHeight="1">
      <c r="A35" s="6">
        <v>9</v>
      </c>
      <c r="B35" s="19" t="s">
        <v>77</v>
      </c>
      <c r="C35" s="14" t="s">
        <v>115</v>
      </c>
      <c r="D35" s="14" t="s">
        <v>4</v>
      </c>
      <c r="E35" s="38">
        <f>50+50+50</f>
        <v>150</v>
      </c>
      <c r="F35" s="38">
        <f>49.1-0.028</f>
        <v>49.072</v>
      </c>
      <c r="G35" s="38">
        <f>F35</f>
        <v>49.072</v>
      </c>
      <c r="H35" s="38">
        <f t="shared" si="3"/>
        <v>100</v>
      </c>
      <c r="I35" s="38">
        <f t="shared" si="2"/>
        <v>0</v>
      </c>
      <c r="J35" s="9"/>
    </row>
    <row r="36" spans="1:10" ht="18.75">
      <c r="A36" s="8"/>
      <c r="B36" s="55" t="s">
        <v>19</v>
      </c>
      <c r="C36" s="56"/>
      <c r="D36" s="56"/>
      <c r="E36" s="56"/>
      <c r="F36" s="56"/>
      <c r="G36" s="56"/>
      <c r="H36" s="56"/>
      <c r="I36" s="56"/>
      <c r="J36" s="57"/>
    </row>
    <row r="37" spans="1:10" ht="93.75" customHeight="1">
      <c r="A37" s="8">
        <v>1</v>
      </c>
      <c r="B37" s="22" t="s">
        <v>16</v>
      </c>
      <c r="C37" s="14" t="s">
        <v>108</v>
      </c>
      <c r="D37" s="14" t="s">
        <v>4</v>
      </c>
      <c r="E37" s="47">
        <f>35.9+35.9+35.9+35.9+35.9</f>
        <v>179.5</v>
      </c>
      <c r="F37" s="38">
        <f>30+30+30</f>
        <v>90</v>
      </c>
      <c r="G37" s="47">
        <f>F37</f>
        <v>90</v>
      </c>
      <c r="H37" s="38">
        <f>G37/F37*100</f>
        <v>100</v>
      </c>
      <c r="I37" s="38">
        <f>G37-F37</f>
        <v>0</v>
      </c>
      <c r="J37" s="9"/>
    </row>
    <row r="38" spans="1:10" ht="93.75" customHeight="1">
      <c r="A38" s="8">
        <v>2</v>
      </c>
      <c r="B38" s="22" t="s">
        <v>119</v>
      </c>
      <c r="C38" s="14" t="s">
        <v>108</v>
      </c>
      <c r="D38" s="14" t="s">
        <v>4</v>
      </c>
      <c r="E38" s="47">
        <v>0</v>
      </c>
      <c r="F38" s="38">
        <v>0</v>
      </c>
      <c r="G38" s="47">
        <v>0</v>
      </c>
      <c r="H38" s="38">
        <v>0</v>
      </c>
      <c r="I38" s="38">
        <f aca="true" t="shared" si="4" ref="I38:I45">G38-F38</f>
        <v>0</v>
      </c>
      <c r="J38" s="9"/>
    </row>
    <row r="39" spans="1:10" ht="117" customHeight="1">
      <c r="A39" s="8">
        <v>3</v>
      </c>
      <c r="B39" s="26" t="s">
        <v>17</v>
      </c>
      <c r="C39" s="14" t="s">
        <v>118</v>
      </c>
      <c r="D39" s="14" t="s">
        <v>4</v>
      </c>
      <c r="E39" s="47">
        <f>90+40+40+40+165</f>
        <v>375</v>
      </c>
      <c r="F39" s="38">
        <f>24.8+0.047</f>
        <v>24.847</v>
      </c>
      <c r="G39" s="47">
        <f>F39</f>
        <v>24.847</v>
      </c>
      <c r="H39" s="38">
        <f>G39/F39*100</f>
        <v>100</v>
      </c>
      <c r="I39" s="38">
        <f t="shared" si="4"/>
        <v>0</v>
      </c>
      <c r="J39" s="8"/>
    </row>
    <row r="40" spans="1:10" ht="117" customHeight="1" thickBot="1">
      <c r="A40" s="8">
        <v>4</v>
      </c>
      <c r="B40" s="26" t="s">
        <v>18</v>
      </c>
      <c r="C40" s="14" t="s">
        <v>118</v>
      </c>
      <c r="D40" s="14" t="s">
        <v>4</v>
      </c>
      <c r="E40" s="47">
        <f>3318+3153.2+3048+1895.9+2564</f>
        <v>13979.1</v>
      </c>
      <c r="F40" s="38">
        <f>507.6+49.8+438.949</f>
        <v>996.3489999999999</v>
      </c>
      <c r="G40" s="47">
        <f>F40</f>
        <v>996.3489999999999</v>
      </c>
      <c r="H40" s="38">
        <f>G40/F40*100</f>
        <v>100</v>
      </c>
      <c r="I40" s="38">
        <f t="shared" si="4"/>
        <v>0</v>
      </c>
      <c r="J40" s="8"/>
    </row>
    <row r="41" spans="1:10" ht="62.25" customHeight="1" thickBot="1">
      <c r="A41" s="8">
        <v>5</v>
      </c>
      <c r="B41" s="37" t="s">
        <v>78</v>
      </c>
      <c r="C41" s="14" t="s">
        <v>120</v>
      </c>
      <c r="D41" s="14" t="s">
        <v>4</v>
      </c>
      <c r="E41" s="47">
        <f>770+860+1000+1000</f>
        <v>3630</v>
      </c>
      <c r="F41" s="38">
        <v>0</v>
      </c>
      <c r="G41" s="47">
        <v>0</v>
      </c>
      <c r="H41" s="38">
        <v>0</v>
      </c>
      <c r="I41" s="38">
        <f t="shared" si="4"/>
        <v>0</v>
      </c>
      <c r="J41" s="8"/>
    </row>
    <row r="42" spans="1:10" ht="111.75" customHeight="1">
      <c r="A42" s="8">
        <v>6</v>
      </c>
      <c r="B42" s="27" t="s">
        <v>40</v>
      </c>
      <c r="C42" s="14" t="s">
        <v>118</v>
      </c>
      <c r="D42" s="14" t="s">
        <v>4</v>
      </c>
      <c r="E42" s="38">
        <f>3450+1300+2300+2300+2200</f>
        <v>11550</v>
      </c>
      <c r="F42" s="38">
        <v>0</v>
      </c>
      <c r="G42" s="47">
        <v>0</v>
      </c>
      <c r="H42" s="38">
        <v>0</v>
      </c>
      <c r="I42" s="38">
        <f t="shared" si="4"/>
        <v>0</v>
      </c>
      <c r="J42" s="8"/>
    </row>
    <row r="43" spans="1:10" ht="60.75" customHeight="1">
      <c r="A43" s="8">
        <v>7</v>
      </c>
      <c r="B43" s="27" t="s">
        <v>90</v>
      </c>
      <c r="C43" s="14" t="s">
        <v>120</v>
      </c>
      <c r="D43" s="14" t="s">
        <v>4</v>
      </c>
      <c r="E43" s="38">
        <f>60+286+1500</f>
        <v>1846</v>
      </c>
      <c r="F43" s="38">
        <v>0</v>
      </c>
      <c r="G43" s="38">
        <v>0</v>
      </c>
      <c r="H43" s="38">
        <v>0</v>
      </c>
      <c r="I43" s="38">
        <f>G43-F43</f>
        <v>0</v>
      </c>
      <c r="J43" s="8"/>
    </row>
    <row r="44" spans="1:10" ht="72" customHeight="1">
      <c r="A44" s="8">
        <v>8</v>
      </c>
      <c r="B44" s="27" t="s">
        <v>95</v>
      </c>
      <c r="C44" s="14" t="s">
        <v>197</v>
      </c>
      <c r="D44" s="14" t="s">
        <v>4</v>
      </c>
      <c r="E44" s="38">
        <v>100</v>
      </c>
      <c r="F44" s="38">
        <v>99.964</v>
      </c>
      <c r="G44" s="38">
        <v>99.964</v>
      </c>
      <c r="H44" s="38">
        <f>G44/F44*100</f>
        <v>100</v>
      </c>
      <c r="I44" s="38">
        <f t="shared" si="4"/>
        <v>0</v>
      </c>
      <c r="J44" s="8"/>
    </row>
    <row r="45" spans="1:10" ht="91.5" customHeight="1">
      <c r="A45" s="8">
        <v>9</v>
      </c>
      <c r="B45" s="27" t="s">
        <v>96</v>
      </c>
      <c r="C45" s="14" t="s">
        <v>200</v>
      </c>
      <c r="D45" s="14" t="s">
        <v>4</v>
      </c>
      <c r="E45" s="38">
        <v>1277.1</v>
      </c>
      <c r="F45" s="38">
        <v>0</v>
      </c>
      <c r="G45" s="38">
        <v>0</v>
      </c>
      <c r="H45" s="38">
        <v>0</v>
      </c>
      <c r="I45" s="38">
        <f t="shared" si="4"/>
        <v>0</v>
      </c>
      <c r="J45" s="8"/>
    </row>
    <row r="46" spans="1:10" ht="22.5" customHeight="1">
      <c r="A46" s="8"/>
      <c r="B46" s="55" t="s">
        <v>23</v>
      </c>
      <c r="C46" s="56"/>
      <c r="D46" s="56"/>
      <c r="E46" s="56"/>
      <c r="F46" s="56"/>
      <c r="G46" s="56"/>
      <c r="H46" s="56"/>
      <c r="I46" s="56"/>
      <c r="J46" s="57"/>
    </row>
    <row r="47" spans="1:10" ht="95.25" customHeight="1">
      <c r="A47" s="8">
        <v>1</v>
      </c>
      <c r="B47" s="24" t="s">
        <v>107</v>
      </c>
      <c r="C47" s="39" t="s">
        <v>121</v>
      </c>
      <c r="D47" s="14" t="s">
        <v>4</v>
      </c>
      <c r="E47" s="47">
        <f>3000+3000+3000</f>
        <v>9000</v>
      </c>
      <c r="F47" s="47">
        <f>497+497</f>
        <v>994</v>
      </c>
      <c r="G47" s="38">
        <f>F47</f>
        <v>994</v>
      </c>
      <c r="H47" s="38">
        <f>G47/E47*100</f>
        <v>11.044444444444444</v>
      </c>
      <c r="I47" s="38">
        <f>G47-F47</f>
        <v>0</v>
      </c>
      <c r="J47" s="30"/>
    </row>
    <row r="48" spans="1:10" ht="66" customHeight="1">
      <c r="A48" s="8">
        <v>2</v>
      </c>
      <c r="B48" s="24" t="s">
        <v>79</v>
      </c>
      <c r="C48" s="39" t="s">
        <v>122</v>
      </c>
      <c r="D48" s="14" t="s">
        <v>4</v>
      </c>
      <c r="E48" s="47">
        <f>3000+400+350+200</f>
        <v>3950</v>
      </c>
      <c r="F48" s="47">
        <v>0</v>
      </c>
      <c r="G48" s="38">
        <v>0</v>
      </c>
      <c r="H48" s="38">
        <f aca="true" t="shared" si="5" ref="H48:H83">G48/E48*100</f>
        <v>0</v>
      </c>
      <c r="I48" s="38">
        <f aca="true" t="shared" si="6" ref="I48:I83">G48-F48</f>
        <v>0</v>
      </c>
      <c r="J48" s="30"/>
    </row>
    <row r="49" spans="1:10" ht="60.75" customHeight="1">
      <c r="A49" s="8">
        <v>3</v>
      </c>
      <c r="B49" s="24" t="s">
        <v>97</v>
      </c>
      <c r="C49" s="39" t="s">
        <v>123</v>
      </c>
      <c r="D49" s="14" t="s">
        <v>4</v>
      </c>
      <c r="E49" s="47">
        <v>450</v>
      </c>
      <c r="F49" s="47">
        <v>0</v>
      </c>
      <c r="G49" s="38">
        <v>0</v>
      </c>
      <c r="H49" s="38">
        <f t="shared" si="5"/>
        <v>0</v>
      </c>
      <c r="I49" s="38">
        <f t="shared" si="6"/>
        <v>0</v>
      </c>
      <c r="J49" s="30"/>
    </row>
    <row r="50" spans="1:10" ht="57" customHeight="1">
      <c r="A50" s="8">
        <v>4</v>
      </c>
      <c r="B50" s="24" t="s">
        <v>80</v>
      </c>
      <c r="C50" s="39" t="s">
        <v>123</v>
      </c>
      <c r="D50" s="14" t="s">
        <v>4</v>
      </c>
      <c r="E50" s="47">
        <f>250+250</f>
        <v>500</v>
      </c>
      <c r="F50" s="47">
        <v>0</v>
      </c>
      <c r="G50" s="38">
        <v>0</v>
      </c>
      <c r="H50" s="38">
        <f t="shared" si="5"/>
        <v>0</v>
      </c>
      <c r="I50" s="38">
        <f t="shared" si="6"/>
        <v>0</v>
      </c>
      <c r="J50" s="30"/>
    </row>
    <row r="51" spans="1:10" ht="62.25" customHeight="1">
      <c r="A51" s="8">
        <v>5</v>
      </c>
      <c r="B51" s="24" t="s">
        <v>81</v>
      </c>
      <c r="C51" s="39" t="s">
        <v>123</v>
      </c>
      <c r="D51" s="14" t="s">
        <v>4</v>
      </c>
      <c r="E51" s="47">
        <f>200+200+200</f>
        <v>600</v>
      </c>
      <c r="F51" s="47">
        <v>0</v>
      </c>
      <c r="G51" s="38">
        <v>0</v>
      </c>
      <c r="H51" s="38">
        <f t="shared" si="5"/>
        <v>0</v>
      </c>
      <c r="I51" s="38">
        <f t="shared" si="6"/>
        <v>0</v>
      </c>
      <c r="J51" s="30"/>
    </row>
    <row r="52" spans="1:10" ht="99" customHeight="1">
      <c r="A52" s="8">
        <v>6</v>
      </c>
      <c r="B52" s="24" t="s">
        <v>125</v>
      </c>
      <c r="C52" s="39" t="s">
        <v>124</v>
      </c>
      <c r="D52" s="39" t="s">
        <v>126</v>
      </c>
      <c r="E52" s="47">
        <v>500</v>
      </c>
      <c r="F52" s="47">
        <v>0</v>
      </c>
      <c r="G52" s="38">
        <v>0</v>
      </c>
      <c r="H52" s="38">
        <f t="shared" si="5"/>
        <v>0</v>
      </c>
      <c r="I52" s="38">
        <f t="shared" si="6"/>
        <v>0</v>
      </c>
      <c r="J52" s="30"/>
    </row>
    <row r="53" spans="1:10" ht="54" customHeight="1">
      <c r="A53" s="8">
        <v>7</v>
      </c>
      <c r="B53" s="19" t="s">
        <v>82</v>
      </c>
      <c r="C53" s="39" t="s">
        <v>123</v>
      </c>
      <c r="D53" s="14" t="s">
        <v>4</v>
      </c>
      <c r="E53" s="38">
        <v>152</v>
      </c>
      <c r="F53" s="47">
        <v>0</v>
      </c>
      <c r="G53" s="38">
        <v>0</v>
      </c>
      <c r="H53" s="38">
        <f t="shared" si="5"/>
        <v>0</v>
      </c>
      <c r="I53" s="38">
        <f>G53-F53</f>
        <v>0</v>
      </c>
      <c r="J53" s="30"/>
    </row>
    <row r="54" spans="1:10" ht="56.25">
      <c r="A54" s="8">
        <v>8</v>
      </c>
      <c r="B54" s="19" t="s">
        <v>41</v>
      </c>
      <c r="C54" s="39" t="s">
        <v>122</v>
      </c>
      <c r="D54" s="14" t="s">
        <v>4</v>
      </c>
      <c r="E54" s="38">
        <f>120+120+120+120+120</f>
        <v>600</v>
      </c>
      <c r="F54" s="38">
        <v>0</v>
      </c>
      <c r="G54" s="47">
        <v>0</v>
      </c>
      <c r="H54" s="38">
        <f t="shared" si="5"/>
        <v>0</v>
      </c>
      <c r="I54" s="38">
        <f t="shared" si="6"/>
        <v>0</v>
      </c>
      <c r="J54" s="8"/>
    </row>
    <row r="55" spans="1:10" ht="75" customHeight="1">
      <c r="A55" s="8">
        <v>9</v>
      </c>
      <c r="B55" s="19" t="s">
        <v>24</v>
      </c>
      <c r="C55" s="39" t="s">
        <v>127</v>
      </c>
      <c r="D55" s="14" t="s">
        <v>4</v>
      </c>
      <c r="E55" s="38">
        <f>128.1+128.1+128.1+128.1+128.1</f>
        <v>640.5</v>
      </c>
      <c r="F55" s="38">
        <f>128.1+105+105</f>
        <v>338.1</v>
      </c>
      <c r="G55" s="47">
        <f>F55</f>
        <v>338.1</v>
      </c>
      <c r="H55" s="38">
        <f t="shared" si="5"/>
        <v>52.78688524590164</v>
      </c>
      <c r="I55" s="38">
        <f t="shared" si="6"/>
        <v>0</v>
      </c>
      <c r="J55" s="9"/>
    </row>
    <row r="56" spans="1:10" ht="54.75" customHeight="1">
      <c r="A56" s="8">
        <v>10</v>
      </c>
      <c r="B56" s="19" t="s">
        <v>25</v>
      </c>
      <c r="C56" s="39" t="s">
        <v>122</v>
      </c>
      <c r="D56" s="14" t="s">
        <v>4</v>
      </c>
      <c r="E56" s="38">
        <f>1995+695+2395+6095+6495</f>
        <v>17675</v>
      </c>
      <c r="F56" s="38">
        <f>1416</f>
        <v>1416</v>
      </c>
      <c r="G56" s="47">
        <f>1416</f>
        <v>1416</v>
      </c>
      <c r="H56" s="38">
        <f t="shared" si="5"/>
        <v>8.01131541725601</v>
      </c>
      <c r="I56" s="38">
        <f t="shared" si="6"/>
        <v>0</v>
      </c>
      <c r="J56" s="8"/>
    </row>
    <row r="57" spans="1:10" ht="75">
      <c r="A57" s="8">
        <v>11</v>
      </c>
      <c r="B57" s="19" t="s">
        <v>42</v>
      </c>
      <c r="C57" s="39" t="s">
        <v>122</v>
      </c>
      <c r="D57" s="14" t="s">
        <v>4</v>
      </c>
      <c r="E57" s="38">
        <f>150+150+150+150+150</f>
        <v>750</v>
      </c>
      <c r="F57" s="38">
        <v>0</v>
      </c>
      <c r="G57" s="47">
        <v>0</v>
      </c>
      <c r="H57" s="38">
        <f t="shared" si="5"/>
        <v>0</v>
      </c>
      <c r="I57" s="38">
        <f t="shared" si="6"/>
        <v>0</v>
      </c>
      <c r="J57" s="8"/>
    </row>
    <row r="58" spans="1:10" ht="56.25">
      <c r="A58" s="8">
        <v>12</v>
      </c>
      <c r="B58" s="19" t="s">
        <v>26</v>
      </c>
      <c r="C58" s="39" t="s">
        <v>122</v>
      </c>
      <c r="D58" s="14" t="s">
        <v>4</v>
      </c>
      <c r="E58" s="38">
        <f>50+50+50+50+50+57.1</f>
        <v>307.1</v>
      </c>
      <c r="F58" s="38">
        <v>0</v>
      </c>
      <c r="G58" s="47">
        <v>0</v>
      </c>
      <c r="H58" s="38">
        <f t="shared" si="5"/>
        <v>0</v>
      </c>
      <c r="I58" s="38">
        <f t="shared" si="6"/>
        <v>0</v>
      </c>
      <c r="J58" s="8"/>
    </row>
    <row r="59" spans="1:10" ht="77.25" customHeight="1">
      <c r="A59" s="8">
        <v>13</v>
      </c>
      <c r="B59" s="24" t="s">
        <v>83</v>
      </c>
      <c r="C59" s="39" t="s">
        <v>127</v>
      </c>
      <c r="D59" s="14" t="s">
        <v>4</v>
      </c>
      <c r="E59" s="48">
        <f>200</f>
        <v>200</v>
      </c>
      <c r="F59" s="48">
        <f>94.7+45.272</f>
        <v>139.972</v>
      </c>
      <c r="G59" s="49">
        <f>F59</f>
        <v>139.972</v>
      </c>
      <c r="H59" s="38">
        <f t="shared" si="5"/>
        <v>69.986</v>
      </c>
      <c r="I59" s="38">
        <f>G59-F59</f>
        <v>0</v>
      </c>
      <c r="J59" s="8"/>
    </row>
    <row r="60" spans="1:10" ht="73.5" customHeight="1">
      <c r="A60" s="8">
        <v>14</v>
      </c>
      <c r="B60" s="24" t="s">
        <v>128</v>
      </c>
      <c r="C60" s="39" t="s">
        <v>127</v>
      </c>
      <c r="D60" s="14" t="s">
        <v>4</v>
      </c>
      <c r="E60" s="38">
        <f>40+10</f>
        <v>50</v>
      </c>
      <c r="F60" s="48">
        <v>0</v>
      </c>
      <c r="G60" s="49">
        <v>0</v>
      </c>
      <c r="H60" s="38">
        <f t="shared" si="5"/>
        <v>0</v>
      </c>
      <c r="I60" s="38">
        <f t="shared" si="6"/>
        <v>0</v>
      </c>
      <c r="J60" s="8"/>
    </row>
    <row r="61" spans="1:10" ht="72.75" customHeight="1">
      <c r="A61" s="8">
        <v>15</v>
      </c>
      <c r="B61" s="24" t="s">
        <v>84</v>
      </c>
      <c r="C61" s="39" t="s">
        <v>127</v>
      </c>
      <c r="D61" s="14" t="s">
        <v>4</v>
      </c>
      <c r="E61" s="38">
        <f>300+300+1000</f>
        <v>1600</v>
      </c>
      <c r="F61" s="48">
        <v>0</v>
      </c>
      <c r="G61" s="49">
        <v>0</v>
      </c>
      <c r="H61" s="38">
        <f t="shared" si="5"/>
        <v>0</v>
      </c>
      <c r="I61" s="38">
        <f t="shared" si="6"/>
        <v>0</v>
      </c>
      <c r="J61" s="8"/>
    </row>
    <row r="62" spans="1:10" ht="93.75">
      <c r="A62" s="8">
        <v>16</v>
      </c>
      <c r="B62" s="24" t="s">
        <v>201</v>
      </c>
      <c r="C62" s="14" t="s">
        <v>129</v>
      </c>
      <c r="D62" s="14" t="s">
        <v>4</v>
      </c>
      <c r="E62" s="38">
        <f>1250+1250</f>
        <v>2500</v>
      </c>
      <c r="F62" s="48">
        <v>0</v>
      </c>
      <c r="G62" s="49">
        <v>0</v>
      </c>
      <c r="H62" s="38">
        <f t="shared" si="5"/>
        <v>0</v>
      </c>
      <c r="I62" s="38">
        <f t="shared" si="6"/>
        <v>0</v>
      </c>
      <c r="J62" s="8"/>
    </row>
    <row r="63" spans="1:10" ht="93.75">
      <c r="A63" s="8">
        <v>17</v>
      </c>
      <c r="B63" s="24" t="s">
        <v>202</v>
      </c>
      <c r="C63" s="14" t="s">
        <v>129</v>
      </c>
      <c r="D63" s="14" t="s">
        <v>4</v>
      </c>
      <c r="E63" s="38">
        <f>1500+1500+1000</f>
        <v>4000</v>
      </c>
      <c r="F63" s="48">
        <v>0</v>
      </c>
      <c r="G63" s="49">
        <v>0</v>
      </c>
      <c r="H63" s="38">
        <f t="shared" si="5"/>
        <v>0</v>
      </c>
      <c r="I63" s="38">
        <f t="shared" si="6"/>
        <v>0</v>
      </c>
      <c r="J63" s="8"/>
    </row>
    <row r="64" spans="1:10" ht="81" customHeight="1">
      <c r="A64" s="8">
        <v>18</v>
      </c>
      <c r="B64" s="25" t="s">
        <v>27</v>
      </c>
      <c r="C64" s="14" t="s">
        <v>129</v>
      </c>
      <c r="D64" s="14" t="s">
        <v>4</v>
      </c>
      <c r="E64" s="48">
        <f>562+1000+2162+8362+15000</f>
        <v>27086</v>
      </c>
      <c r="F64" s="48">
        <v>60</v>
      </c>
      <c r="G64" s="49">
        <f>F64</f>
        <v>60</v>
      </c>
      <c r="H64" s="38">
        <f t="shared" si="5"/>
        <v>0.2215166506682419</v>
      </c>
      <c r="I64" s="38">
        <f t="shared" si="6"/>
        <v>0</v>
      </c>
      <c r="J64" s="9"/>
    </row>
    <row r="65" spans="1:10" ht="89.25" customHeight="1">
      <c r="A65" s="53">
        <v>19</v>
      </c>
      <c r="B65" s="19" t="s">
        <v>98</v>
      </c>
      <c r="C65" s="54" t="s">
        <v>121</v>
      </c>
      <c r="D65" s="14" t="s">
        <v>4</v>
      </c>
      <c r="E65" s="48">
        <v>600</v>
      </c>
      <c r="F65" s="48">
        <v>0</v>
      </c>
      <c r="G65" s="49">
        <v>0</v>
      </c>
      <c r="H65" s="38">
        <f t="shared" si="5"/>
        <v>0</v>
      </c>
      <c r="I65" s="38">
        <f>G65-F65</f>
        <v>0</v>
      </c>
      <c r="J65" s="9"/>
    </row>
    <row r="66" spans="1:10" ht="42.75" customHeight="1">
      <c r="A66" s="68">
        <v>20</v>
      </c>
      <c r="B66" s="36" t="s">
        <v>134</v>
      </c>
      <c r="C66" s="71" t="s">
        <v>135</v>
      </c>
      <c r="D66" s="14" t="s">
        <v>136</v>
      </c>
      <c r="E66" s="48">
        <v>25</v>
      </c>
      <c r="F66" s="48">
        <v>0</v>
      </c>
      <c r="G66" s="49">
        <v>0</v>
      </c>
      <c r="H66" s="38">
        <f t="shared" si="5"/>
        <v>0</v>
      </c>
      <c r="I66" s="38">
        <f t="shared" si="6"/>
        <v>0</v>
      </c>
      <c r="J66" s="9"/>
    </row>
    <row r="67" spans="1:10" ht="33" customHeight="1" thickBot="1">
      <c r="A67" s="69"/>
      <c r="B67" s="45" t="s">
        <v>130</v>
      </c>
      <c r="C67" s="72"/>
      <c r="D67" s="14" t="s">
        <v>136</v>
      </c>
      <c r="E67" s="48">
        <v>50</v>
      </c>
      <c r="F67" s="48">
        <v>0</v>
      </c>
      <c r="G67" s="49">
        <v>0</v>
      </c>
      <c r="H67" s="38">
        <f t="shared" si="5"/>
        <v>0</v>
      </c>
      <c r="I67" s="38">
        <f t="shared" si="6"/>
        <v>0</v>
      </c>
      <c r="J67" s="9"/>
    </row>
    <row r="68" spans="1:10" ht="35.25" customHeight="1" thickBot="1">
      <c r="A68" s="69"/>
      <c r="B68" s="44" t="s">
        <v>131</v>
      </c>
      <c r="C68" s="72"/>
      <c r="D68" s="14" t="s">
        <v>136</v>
      </c>
      <c r="E68" s="48">
        <v>10</v>
      </c>
      <c r="F68" s="48">
        <v>0</v>
      </c>
      <c r="G68" s="49">
        <v>0</v>
      </c>
      <c r="H68" s="38">
        <f t="shared" si="5"/>
        <v>0</v>
      </c>
      <c r="I68" s="38">
        <f t="shared" si="6"/>
        <v>0</v>
      </c>
      <c r="J68" s="9"/>
    </row>
    <row r="69" spans="1:10" ht="36.75" customHeight="1" thickBot="1">
      <c r="A69" s="69"/>
      <c r="B69" s="44" t="s">
        <v>132</v>
      </c>
      <c r="C69" s="72"/>
      <c r="D69" s="14" t="s">
        <v>136</v>
      </c>
      <c r="E69" s="48">
        <v>300</v>
      </c>
      <c r="F69" s="48">
        <v>0</v>
      </c>
      <c r="G69" s="49">
        <v>0</v>
      </c>
      <c r="H69" s="38">
        <f t="shared" si="5"/>
        <v>0</v>
      </c>
      <c r="I69" s="38">
        <f t="shared" si="6"/>
        <v>0</v>
      </c>
      <c r="J69" s="9"/>
    </row>
    <row r="70" spans="1:10" ht="49.5" customHeight="1" thickBot="1">
      <c r="A70" s="70"/>
      <c r="B70" s="52" t="s">
        <v>133</v>
      </c>
      <c r="C70" s="73"/>
      <c r="D70" s="14" t="s">
        <v>136</v>
      </c>
      <c r="E70" s="48">
        <v>25</v>
      </c>
      <c r="F70" s="48">
        <v>0</v>
      </c>
      <c r="G70" s="49">
        <v>0</v>
      </c>
      <c r="H70" s="38">
        <f t="shared" si="5"/>
        <v>0</v>
      </c>
      <c r="I70" s="38">
        <f t="shared" si="6"/>
        <v>0</v>
      </c>
      <c r="J70" s="9"/>
    </row>
    <row r="71" spans="1:10" ht="107.25" customHeight="1">
      <c r="A71" s="42">
        <v>21</v>
      </c>
      <c r="B71" s="51" t="s">
        <v>138</v>
      </c>
      <c r="C71" s="46" t="s">
        <v>137</v>
      </c>
      <c r="D71" s="14" t="s">
        <v>136</v>
      </c>
      <c r="E71" s="48">
        <v>96</v>
      </c>
      <c r="F71" s="48">
        <v>0</v>
      </c>
      <c r="G71" s="49">
        <v>0</v>
      </c>
      <c r="H71" s="38">
        <f t="shared" si="5"/>
        <v>0</v>
      </c>
      <c r="I71" s="38">
        <f>G71-F71</f>
        <v>0</v>
      </c>
      <c r="J71" s="9"/>
    </row>
    <row r="72" spans="1:10" ht="103.5" customHeight="1">
      <c r="A72" s="42">
        <v>22</v>
      </c>
      <c r="B72" s="23" t="s">
        <v>139</v>
      </c>
      <c r="C72" s="46" t="s">
        <v>137</v>
      </c>
      <c r="D72" s="14" t="s">
        <v>136</v>
      </c>
      <c r="E72" s="48">
        <v>99</v>
      </c>
      <c r="F72" s="48">
        <v>0</v>
      </c>
      <c r="G72" s="49">
        <v>0</v>
      </c>
      <c r="H72" s="38">
        <f t="shared" si="5"/>
        <v>0</v>
      </c>
      <c r="I72" s="38">
        <f t="shared" si="6"/>
        <v>0</v>
      </c>
      <c r="J72" s="9"/>
    </row>
    <row r="73" spans="1:10" ht="97.5" customHeight="1">
      <c r="A73" s="42">
        <v>23</v>
      </c>
      <c r="B73" s="23" t="s">
        <v>140</v>
      </c>
      <c r="C73" s="14" t="s">
        <v>141</v>
      </c>
      <c r="D73" s="14" t="s">
        <v>136</v>
      </c>
      <c r="E73" s="48">
        <v>203.3</v>
      </c>
      <c r="F73" s="48">
        <v>0</v>
      </c>
      <c r="G73" s="49">
        <v>0</v>
      </c>
      <c r="H73" s="38">
        <f t="shared" si="5"/>
        <v>0</v>
      </c>
      <c r="I73" s="38">
        <f>G73-F73</f>
        <v>0</v>
      </c>
      <c r="J73" s="9"/>
    </row>
    <row r="74" spans="1:10" ht="97.5" customHeight="1">
      <c r="A74" s="42">
        <v>24</v>
      </c>
      <c r="B74" s="23" t="s">
        <v>142</v>
      </c>
      <c r="C74" s="14" t="s">
        <v>141</v>
      </c>
      <c r="D74" s="14" t="s">
        <v>136</v>
      </c>
      <c r="E74" s="48">
        <v>278.4</v>
      </c>
      <c r="F74" s="48">
        <v>0</v>
      </c>
      <c r="G74" s="49">
        <v>0</v>
      </c>
      <c r="H74" s="38">
        <f t="shared" si="5"/>
        <v>0</v>
      </c>
      <c r="I74" s="38">
        <f t="shared" si="6"/>
        <v>0</v>
      </c>
      <c r="J74" s="9"/>
    </row>
    <row r="75" spans="1:10" ht="97.5" customHeight="1">
      <c r="A75" s="42">
        <v>25</v>
      </c>
      <c r="B75" s="23" t="s">
        <v>143</v>
      </c>
      <c r="C75" s="14" t="s">
        <v>141</v>
      </c>
      <c r="D75" s="14" t="s">
        <v>136</v>
      </c>
      <c r="E75" s="48">
        <v>56.2</v>
      </c>
      <c r="F75" s="48">
        <v>0</v>
      </c>
      <c r="G75" s="49">
        <v>0</v>
      </c>
      <c r="H75" s="38">
        <f t="shared" si="5"/>
        <v>0</v>
      </c>
      <c r="I75" s="38">
        <f t="shared" si="6"/>
        <v>0</v>
      </c>
      <c r="J75" s="9"/>
    </row>
    <row r="76" spans="1:10" ht="97.5" customHeight="1">
      <c r="A76" s="42">
        <v>26</v>
      </c>
      <c r="B76" s="23" t="s">
        <v>144</v>
      </c>
      <c r="C76" s="14" t="s">
        <v>141</v>
      </c>
      <c r="D76" s="14" t="s">
        <v>136</v>
      </c>
      <c r="E76" s="48">
        <v>165.9</v>
      </c>
      <c r="F76" s="48">
        <v>0</v>
      </c>
      <c r="G76" s="49">
        <v>0</v>
      </c>
      <c r="H76" s="38">
        <f t="shared" si="5"/>
        <v>0</v>
      </c>
      <c r="I76" s="38">
        <f t="shared" si="6"/>
        <v>0</v>
      </c>
      <c r="J76" s="9"/>
    </row>
    <row r="77" spans="1:10" ht="84" customHeight="1">
      <c r="A77" s="42">
        <v>27</v>
      </c>
      <c r="B77" s="23" t="s">
        <v>145</v>
      </c>
      <c r="C77" s="14" t="s">
        <v>141</v>
      </c>
      <c r="D77" s="14" t="s">
        <v>136</v>
      </c>
      <c r="E77" s="48">
        <v>283.7</v>
      </c>
      <c r="F77" s="48">
        <v>0</v>
      </c>
      <c r="G77" s="49">
        <v>0</v>
      </c>
      <c r="H77" s="38">
        <f t="shared" si="5"/>
        <v>0</v>
      </c>
      <c r="I77" s="38">
        <f t="shared" si="6"/>
        <v>0</v>
      </c>
      <c r="J77" s="9"/>
    </row>
    <row r="78" spans="1:10" ht="84" customHeight="1">
      <c r="A78" s="42">
        <v>28</v>
      </c>
      <c r="B78" s="23" t="s">
        <v>146</v>
      </c>
      <c r="C78" s="14" t="s">
        <v>147</v>
      </c>
      <c r="D78" s="14" t="s">
        <v>148</v>
      </c>
      <c r="E78" s="48">
        <v>130</v>
      </c>
      <c r="F78" s="48">
        <v>0</v>
      </c>
      <c r="G78" s="49">
        <v>0</v>
      </c>
      <c r="H78" s="38">
        <f t="shared" si="5"/>
        <v>0</v>
      </c>
      <c r="I78" s="38">
        <f>G78-F78</f>
        <v>0</v>
      </c>
      <c r="J78" s="9"/>
    </row>
    <row r="79" spans="1:10" ht="84" customHeight="1">
      <c r="A79" s="42">
        <v>29</v>
      </c>
      <c r="B79" s="23" t="s">
        <v>149</v>
      </c>
      <c r="C79" s="14" t="s">
        <v>147</v>
      </c>
      <c r="D79" s="14" t="s">
        <v>136</v>
      </c>
      <c r="E79" s="48">
        <v>40</v>
      </c>
      <c r="F79" s="48">
        <v>0</v>
      </c>
      <c r="G79" s="49">
        <v>0</v>
      </c>
      <c r="H79" s="38">
        <f t="shared" si="5"/>
        <v>0</v>
      </c>
      <c r="I79" s="38">
        <f t="shared" si="6"/>
        <v>0</v>
      </c>
      <c r="J79" s="9"/>
    </row>
    <row r="80" spans="1:10" ht="86.25" customHeight="1">
      <c r="A80" s="42">
        <v>30</v>
      </c>
      <c r="B80" s="19" t="s">
        <v>198</v>
      </c>
      <c r="C80" s="14" t="s">
        <v>147</v>
      </c>
      <c r="D80" s="14" t="s">
        <v>148</v>
      </c>
      <c r="E80" s="48">
        <v>25</v>
      </c>
      <c r="F80" s="48">
        <v>0</v>
      </c>
      <c r="G80" s="49">
        <v>0</v>
      </c>
      <c r="H80" s="38">
        <f t="shared" si="5"/>
        <v>0</v>
      </c>
      <c r="I80" s="38">
        <f t="shared" si="6"/>
        <v>0</v>
      </c>
      <c r="J80" s="9"/>
    </row>
    <row r="81" spans="1:10" ht="63.75" customHeight="1">
      <c r="A81" s="8">
        <v>31</v>
      </c>
      <c r="B81" s="19" t="s">
        <v>43</v>
      </c>
      <c r="C81" s="14" t="s">
        <v>150</v>
      </c>
      <c r="D81" s="14" t="s">
        <v>4</v>
      </c>
      <c r="E81" s="38">
        <f>100+100+100+100+100</f>
        <v>500</v>
      </c>
      <c r="F81" s="38">
        <f>50+100+50-0.014</f>
        <v>199.986</v>
      </c>
      <c r="G81" s="47">
        <f>F81</f>
        <v>199.986</v>
      </c>
      <c r="H81" s="38">
        <f t="shared" si="5"/>
        <v>39.9972</v>
      </c>
      <c r="I81" s="38">
        <f t="shared" si="6"/>
        <v>0</v>
      </c>
      <c r="J81" s="9"/>
    </row>
    <row r="82" spans="1:10" ht="60.75" customHeight="1">
      <c r="A82" s="8">
        <v>32</v>
      </c>
      <c r="B82" s="19" t="s">
        <v>85</v>
      </c>
      <c r="C82" s="14" t="s">
        <v>150</v>
      </c>
      <c r="D82" s="14" t="s">
        <v>4</v>
      </c>
      <c r="E82" s="38">
        <f>464+317</f>
        <v>781</v>
      </c>
      <c r="F82" s="38">
        <f>15.5+86.024</f>
        <v>101.524</v>
      </c>
      <c r="G82" s="38">
        <f>F82</f>
        <v>101.524</v>
      </c>
      <c r="H82" s="38">
        <f t="shared" si="5"/>
        <v>12.99923175416133</v>
      </c>
      <c r="I82" s="38">
        <f t="shared" si="6"/>
        <v>0</v>
      </c>
      <c r="J82" s="9"/>
    </row>
    <row r="83" spans="1:10" ht="73.5" customHeight="1">
      <c r="A83" s="8">
        <v>33</v>
      </c>
      <c r="B83" s="19" t="s">
        <v>91</v>
      </c>
      <c r="C83" s="14" t="s">
        <v>150</v>
      </c>
      <c r="D83" s="14" t="s">
        <v>4</v>
      </c>
      <c r="E83" s="38">
        <f>295+166</f>
        <v>461</v>
      </c>
      <c r="F83" s="38">
        <v>0</v>
      </c>
      <c r="G83" s="38">
        <v>0</v>
      </c>
      <c r="H83" s="38">
        <f t="shared" si="5"/>
        <v>0</v>
      </c>
      <c r="I83" s="38">
        <f t="shared" si="6"/>
        <v>0</v>
      </c>
      <c r="J83" s="9"/>
    </row>
    <row r="84" spans="1:10" ht="18.75">
      <c r="A84" s="8"/>
      <c r="B84" s="55" t="s">
        <v>204</v>
      </c>
      <c r="C84" s="56"/>
      <c r="D84" s="56"/>
      <c r="E84" s="56"/>
      <c r="F84" s="56"/>
      <c r="G84" s="56"/>
      <c r="H84" s="56"/>
      <c r="I84" s="56"/>
      <c r="J84" s="57"/>
    </row>
    <row r="85" spans="1:10" ht="99" customHeight="1">
      <c r="A85" s="8">
        <v>1</v>
      </c>
      <c r="B85" s="26" t="s">
        <v>28</v>
      </c>
      <c r="C85" s="14" t="s">
        <v>151</v>
      </c>
      <c r="D85" s="14" t="s">
        <v>4</v>
      </c>
      <c r="E85" s="47">
        <f>40+60+50+50+60</f>
        <v>260</v>
      </c>
      <c r="F85" s="38">
        <f>34.3+50.395+42.999+0.013</f>
        <v>127.707</v>
      </c>
      <c r="G85" s="47">
        <f>F85</f>
        <v>127.707</v>
      </c>
      <c r="H85" s="38">
        <f>G85/F85*100</f>
        <v>100</v>
      </c>
      <c r="I85" s="38">
        <f>G85-F85</f>
        <v>0</v>
      </c>
      <c r="J85" s="9"/>
    </row>
    <row r="86" spans="1:10" ht="99" customHeight="1">
      <c r="A86" s="8">
        <v>2</v>
      </c>
      <c r="B86" s="26" t="s">
        <v>86</v>
      </c>
      <c r="C86" s="14" t="s">
        <v>151</v>
      </c>
      <c r="D86" s="14" t="s">
        <v>4</v>
      </c>
      <c r="E86" s="47">
        <f>45+36+36+24</f>
        <v>141</v>
      </c>
      <c r="F86" s="38">
        <v>33.09</v>
      </c>
      <c r="G86" s="47">
        <f>F86</f>
        <v>33.09</v>
      </c>
      <c r="H86" s="38">
        <v>100</v>
      </c>
      <c r="I86" s="38">
        <f aca="true" t="shared" si="7" ref="I86:I103">G86-F86</f>
        <v>0</v>
      </c>
      <c r="J86" s="9"/>
    </row>
    <row r="87" spans="1:10" ht="93.75" customHeight="1">
      <c r="A87" s="8">
        <v>3</v>
      </c>
      <c r="B87" s="26" t="s">
        <v>203</v>
      </c>
      <c r="C87" s="14" t="s">
        <v>151</v>
      </c>
      <c r="D87" s="14" t="s">
        <v>4</v>
      </c>
      <c r="E87" s="47">
        <f>1000+1500</f>
        <v>2500</v>
      </c>
      <c r="F87" s="38">
        <v>0</v>
      </c>
      <c r="G87" s="47">
        <v>0</v>
      </c>
      <c r="H87" s="38">
        <v>0</v>
      </c>
      <c r="I87" s="38">
        <f t="shared" si="7"/>
        <v>0</v>
      </c>
      <c r="J87" s="9"/>
    </row>
    <row r="88" spans="1:10" ht="92.25" customHeight="1">
      <c r="A88" s="8">
        <v>4</v>
      </c>
      <c r="B88" s="26" t="s">
        <v>29</v>
      </c>
      <c r="C88" s="14" t="s">
        <v>151</v>
      </c>
      <c r="D88" s="14" t="s">
        <v>4</v>
      </c>
      <c r="E88" s="47">
        <f>60+50+30+50+50</f>
        <v>240</v>
      </c>
      <c r="F88" s="38">
        <f>20+24.601+38</f>
        <v>82.601</v>
      </c>
      <c r="G88" s="47">
        <f>F88</f>
        <v>82.601</v>
      </c>
      <c r="H88" s="38">
        <v>100</v>
      </c>
      <c r="I88" s="38">
        <f t="shared" si="7"/>
        <v>0</v>
      </c>
      <c r="J88" s="9"/>
    </row>
    <row r="89" spans="1:10" ht="90" customHeight="1">
      <c r="A89" s="8">
        <v>5</v>
      </c>
      <c r="B89" s="26" t="s">
        <v>30</v>
      </c>
      <c r="C89" s="14" t="s">
        <v>151</v>
      </c>
      <c r="D89" s="14" t="s">
        <v>4</v>
      </c>
      <c r="E89" s="47">
        <f>75+75+75+75+75</f>
        <v>375</v>
      </c>
      <c r="F89" s="38">
        <f>74.8+72.8</f>
        <v>147.6</v>
      </c>
      <c r="G89" s="47">
        <f>F89</f>
        <v>147.6</v>
      </c>
      <c r="H89" s="38">
        <v>100</v>
      </c>
      <c r="I89" s="38">
        <f t="shared" si="7"/>
        <v>0</v>
      </c>
      <c r="J89" s="9"/>
    </row>
    <row r="90" spans="1:10" ht="95.25" customHeight="1">
      <c r="A90" s="8">
        <v>6</v>
      </c>
      <c r="B90" s="26" t="s">
        <v>31</v>
      </c>
      <c r="C90" s="14" t="s">
        <v>151</v>
      </c>
      <c r="D90" s="14" t="s">
        <v>4</v>
      </c>
      <c r="E90" s="47">
        <f>45+45+45+45+45</f>
        <v>225</v>
      </c>
      <c r="F90" s="38">
        <f>28.5+34.5+41.98+16.04</f>
        <v>121.01999999999998</v>
      </c>
      <c r="G90" s="47">
        <f>F90</f>
        <v>121.01999999999998</v>
      </c>
      <c r="H90" s="38">
        <v>100</v>
      </c>
      <c r="I90" s="38">
        <f>G90-F90</f>
        <v>0</v>
      </c>
      <c r="J90" s="9"/>
    </row>
    <row r="91" spans="1:10" ht="102" customHeight="1">
      <c r="A91" s="8">
        <v>7</v>
      </c>
      <c r="B91" s="26" t="s">
        <v>44</v>
      </c>
      <c r="C91" s="14" t="s">
        <v>151</v>
      </c>
      <c r="D91" s="14" t="s">
        <v>4</v>
      </c>
      <c r="E91" s="47">
        <f>200+200+200+200+200</f>
        <v>1000</v>
      </c>
      <c r="F91" s="38">
        <f>26.1+36.5+18.938</f>
        <v>81.538</v>
      </c>
      <c r="G91" s="47">
        <f>F91</f>
        <v>81.538</v>
      </c>
      <c r="H91" s="38">
        <v>100</v>
      </c>
      <c r="I91" s="38">
        <f t="shared" si="7"/>
        <v>0</v>
      </c>
      <c r="J91" s="8"/>
    </row>
    <row r="92" spans="1:10" ht="106.5" customHeight="1">
      <c r="A92" s="8">
        <v>8</v>
      </c>
      <c r="B92" s="26" t="s">
        <v>205</v>
      </c>
      <c r="C92" s="14" t="s">
        <v>151</v>
      </c>
      <c r="D92" s="14" t="s">
        <v>4</v>
      </c>
      <c r="E92" s="47">
        <f>2200+2200+2200+1200+2200</f>
        <v>10000</v>
      </c>
      <c r="F92" s="38">
        <v>0</v>
      </c>
      <c r="G92" s="47">
        <v>0</v>
      </c>
      <c r="H92" s="38">
        <v>0</v>
      </c>
      <c r="I92" s="38">
        <f t="shared" si="7"/>
        <v>0</v>
      </c>
      <c r="J92" s="8"/>
    </row>
    <row r="93" spans="1:10" ht="102" customHeight="1">
      <c r="A93" s="8">
        <v>9</v>
      </c>
      <c r="B93" s="26" t="s">
        <v>206</v>
      </c>
      <c r="C93" s="14" t="s">
        <v>151</v>
      </c>
      <c r="D93" s="14" t="s">
        <v>4</v>
      </c>
      <c r="E93" s="47">
        <f>600+600+600+600+600</f>
        <v>3000</v>
      </c>
      <c r="F93" s="38">
        <v>0</v>
      </c>
      <c r="G93" s="47">
        <v>0</v>
      </c>
      <c r="H93" s="38">
        <v>0</v>
      </c>
      <c r="I93" s="38">
        <f>G93-F93</f>
        <v>0</v>
      </c>
      <c r="J93" s="8"/>
    </row>
    <row r="94" spans="1:10" ht="72.75" customHeight="1">
      <c r="A94" s="8">
        <v>10</v>
      </c>
      <c r="B94" s="26" t="s">
        <v>32</v>
      </c>
      <c r="C94" s="14" t="s">
        <v>152</v>
      </c>
      <c r="D94" s="14" t="s">
        <v>4</v>
      </c>
      <c r="E94" s="47">
        <f>10000+17950+20000+423.9+3802-57.1</f>
        <v>52118.8</v>
      </c>
      <c r="F94" s="38">
        <v>0</v>
      </c>
      <c r="G94" s="47">
        <v>0</v>
      </c>
      <c r="H94" s="38">
        <v>0</v>
      </c>
      <c r="I94" s="38">
        <f t="shared" si="7"/>
        <v>0</v>
      </c>
      <c r="J94" s="8"/>
    </row>
    <row r="95" spans="1:10" ht="90.75" customHeight="1">
      <c r="A95" s="8">
        <v>11</v>
      </c>
      <c r="B95" s="26" t="s">
        <v>45</v>
      </c>
      <c r="C95" s="14" t="s">
        <v>151</v>
      </c>
      <c r="D95" s="14" t="s">
        <v>4</v>
      </c>
      <c r="E95" s="47">
        <f>30+50+30+40+50</f>
        <v>200</v>
      </c>
      <c r="F95" s="38">
        <v>0</v>
      </c>
      <c r="G95" s="47">
        <v>0</v>
      </c>
      <c r="H95" s="38">
        <v>0</v>
      </c>
      <c r="I95" s="38">
        <f t="shared" si="7"/>
        <v>0</v>
      </c>
      <c r="J95" s="8"/>
    </row>
    <row r="96" spans="1:10" ht="98.25" customHeight="1">
      <c r="A96" s="8">
        <v>12</v>
      </c>
      <c r="B96" s="26" t="s">
        <v>46</v>
      </c>
      <c r="C96" s="14" t="s">
        <v>151</v>
      </c>
      <c r="D96" s="14" t="s">
        <v>4</v>
      </c>
      <c r="E96" s="47">
        <f>30+50+30+40+50</f>
        <v>200</v>
      </c>
      <c r="F96" s="38">
        <v>0</v>
      </c>
      <c r="G96" s="47">
        <v>0</v>
      </c>
      <c r="H96" s="38">
        <v>0</v>
      </c>
      <c r="I96" s="38">
        <f t="shared" si="7"/>
        <v>0</v>
      </c>
      <c r="J96" s="8"/>
    </row>
    <row r="97" spans="1:10" ht="94.5" customHeight="1">
      <c r="A97" s="8">
        <v>13</v>
      </c>
      <c r="B97" s="27" t="s">
        <v>87</v>
      </c>
      <c r="C97" s="14" t="s">
        <v>153</v>
      </c>
      <c r="D97" s="14" t="s">
        <v>154</v>
      </c>
      <c r="E97" s="47">
        <f>1200+5000+5000+300</f>
        <v>11500</v>
      </c>
      <c r="F97" s="38">
        <v>0</v>
      </c>
      <c r="G97" s="47">
        <v>0</v>
      </c>
      <c r="H97" s="38">
        <v>0</v>
      </c>
      <c r="I97" s="38">
        <f>G97-F97</f>
        <v>0</v>
      </c>
      <c r="J97" s="8"/>
    </row>
    <row r="98" spans="1:10" ht="105.75" customHeight="1">
      <c r="A98" s="8">
        <v>14</v>
      </c>
      <c r="B98" s="27" t="s">
        <v>155</v>
      </c>
      <c r="C98" s="14" t="s">
        <v>137</v>
      </c>
      <c r="D98" s="14" t="s">
        <v>136</v>
      </c>
      <c r="E98" s="47">
        <v>30</v>
      </c>
      <c r="F98" s="38">
        <v>0</v>
      </c>
      <c r="G98" s="47">
        <v>0</v>
      </c>
      <c r="H98" s="38">
        <v>0</v>
      </c>
      <c r="I98" s="38">
        <f t="shared" si="7"/>
        <v>0</v>
      </c>
      <c r="J98" s="8"/>
    </row>
    <row r="99" spans="1:10" ht="104.25" customHeight="1">
      <c r="A99" s="8">
        <v>15</v>
      </c>
      <c r="B99" s="27" t="s">
        <v>156</v>
      </c>
      <c r="C99" s="14" t="s">
        <v>137</v>
      </c>
      <c r="D99" s="14" t="s">
        <v>136</v>
      </c>
      <c r="E99" s="47">
        <v>90</v>
      </c>
      <c r="F99" s="38">
        <v>0</v>
      </c>
      <c r="G99" s="47">
        <v>0</v>
      </c>
      <c r="H99" s="38">
        <v>0</v>
      </c>
      <c r="I99" s="38">
        <f t="shared" si="7"/>
        <v>0</v>
      </c>
      <c r="J99" s="8"/>
    </row>
    <row r="100" spans="1:10" ht="94.5" customHeight="1">
      <c r="A100" s="8">
        <v>16</v>
      </c>
      <c r="B100" s="27" t="s">
        <v>156</v>
      </c>
      <c r="C100" s="14" t="s">
        <v>157</v>
      </c>
      <c r="D100" s="14" t="s">
        <v>136</v>
      </c>
      <c r="E100" s="47">
        <v>40</v>
      </c>
      <c r="F100" s="38">
        <v>0</v>
      </c>
      <c r="G100" s="47">
        <v>0</v>
      </c>
      <c r="H100" s="38">
        <v>0</v>
      </c>
      <c r="I100" s="38">
        <f t="shared" si="7"/>
        <v>0</v>
      </c>
      <c r="J100" s="8"/>
    </row>
    <row r="101" spans="1:10" ht="94.5" customHeight="1">
      <c r="A101" s="8">
        <v>17</v>
      </c>
      <c r="B101" s="27" t="s">
        <v>159</v>
      </c>
      <c r="C101" s="14" t="s">
        <v>158</v>
      </c>
      <c r="D101" s="14" t="s">
        <v>136</v>
      </c>
      <c r="E101" s="47">
        <v>200</v>
      </c>
      <c r="F101" s="38">
        <v>0</v>
      </c>
      <c r="G101" s="47">
        <v>0</v>
      </c>
      <c r="H101" s="38">
        <v>0</v>
      </c>
      <c r="I101" s="38">
        <f t="shared" si="7"/>
        <v>0</v>
      </c>
      <c r="J101" s="8"/>
    </row>
    <row r="102" spans="1:10" ht="98.25" customHeight="1">
      <c r="A102" s="8">
        <v>18</v>
      </c>
      <c r="B102" s="27" t="s">
        <v>63</v>
      </c>
      <c r="C102" s="14" t="s">
        <v>151</v>
      </c>
      <c r="D102" s="14"/>
      <c r="E102" s="38">
        <f>50+180</f>
        <v>230</v>
      </c>
      <c r="F102" s="38">
        <v>0</v>
      </c>
      <c r="G102" s="38">
        <v>0</v>
      </c>
      <c r="H102" s="38">
        <v>0</v>
      </c>
      <c r="I102" s="38">
        <f>G102-F102</f>
        <v>0</v>
      </c>
      <c r="J102" s="8"/>
    </row>
    <row r="103" spans="1:10" ht="95.25" customHeight="1">
      <c r="A103" s="8">
        <v>19</v>
      </c>
      <c r="B103" s="27" t="s">
        <v>105</v>
      </c>
      <c r="C103" s="14" t="s">
        <v>151</v>
      </c>
      <c r="D103" s="14"/>
      <c r="E103" s="38">
        <v>50</v>
      </c>
      <c r="F103" s="38">
        <v>0</v>
      </c>
      <c r="G103" s="38">
        <v>0</v>
      </c>
      <c r="H103" s="38">
        <v>0</v>
      </c>
      <c r="I103" s="38">
        <f t="shared" si="7"/>
        <v>0</v>
      </c>
      <c r="J103" s="8"/>
    </row>
    <row r="104" spans="1:10" s="5" customFormat="1" ht="18.75">
      <c r="A104" s="4"/>
      <c r="B104" s="55" t="s">
        <v>35</v>
      </c>
      <c r="C104" s="56"/>
      <c r="D104" s="56"/>
      <c r="E104" s="56"/>
      <c r="F104" s="56"/>
      <c r="G104" s="56"/>
      <c r="H104" s="56"/>
      <c r="I104" s="56"/>
      <c r="J104" s="57"/>
    </row>
    <row r="105" spans="1:10" s="5" customFormat="1" ht="78.75" customHeight="1">
      <c r="A105" s="8">
        <v>1</v>
      </c>
      <c r="B105" s="9" t="s">
        <v>54</v>
      </c>
      <c r="C105" s="39" t="s">
        <v>161</v>
      </c>
      <c r="D105" s="36" t="s">
        <v>160</v>
      </c>
      <c r="E105" s="40">
        <f>160+196+130+1250+196+130</f>
        <v>2062</v>
      </c>
      <c r="F105" s="38">
        <f>78.2+38+447.775+41.73</f>
        <v>605.705</v>
      </c>
      <c r="G105" s="47">
        <f>F105</f>
        <v>605.705</v>
      </c>
      <c r="H105" s="38">
        <v>100</v>
      </c>
      <c r="I105" s="38">
        <f>G105-F105</f>
        <v>0</v>
      </c>
      <c r="J105" s="4"/>
    </row>
    <row r="106" spans="1:10" s="5" customFormat="1" ht="116.25" customHeight="1">
      <c r="A106" s="8">
        <v>2</v>
      </c>
      <c r="B106" s="9" t="s">
        <v>55</v>
      </c>
      <c r="C106" s="39" t="s">
        <v>162</v>
      </c>
      <c r="D106" s="36" t="s">
        <v>4</v>
      </c>
      <c r="E106" s="40">
        <f>45+198+70+198+198</f>
        <v>709</v>
      </c>
      <c r="F106" s="38">
        <v>0</v>
      </c>
      <c r="G106" s="47">
        <v>0</v>
      </c>
      <c r="H106" s="38">
        <v>0</v>
      </c>
      <c r="I106" s="38">
        <f aca="true" t="shared" si="8" ref="I106:I148">G106-F106</f>
        <v>0</v>
      </c>
      <c r="J106" s="9"/>
    </row>
    <row r="107" spans="1:10" ht="77.25" customHeight="1">
      <c r="A107" s="8">
        <v>3</v>
      </c>
      <c r="B107" s="9" t="s">
        <v>33</v>
      </c>
      <c r="C107" s="39" t="s">
        <v>161</v>
      </c>
      <c r="D107" s="36" t="s">
        <v>160</v>
      </c>
      <c r="E107" s="40">
        <f>100+100+100+100+100+400</f>
        <v>900</v>
      </c>
      <c r="F107" s="38">
        <v>17.75</v>
      </c>
      <c r="G107" s="47">
        <f>F107</f>
        <v>17.75</v>
      </c>
      <c r="H107" s="38">
        <v>100</v>
      </c>
      <c r="I107" s="38">
        <f t="shared" si="8"/>
        <v>0</v>
      </c>
      <c r="J107" s="8"/>
    </row>
    <row r="108" spans="1:10" ht="112.5">
      <c r="A108" s="8">
        <v>4</v>
      </c>
      <c r="B108" s="9" t="s">
        <v>56</v>
      </c>
      <c r="C108" s="39" t="s">
        <v>161</v>
      </c>
      <c r="D108" s="36" t="s">
        <v>4</v>
      </c>
      <c r="E108" s="40">
        <f>28+30+30+30+30</f>
        <v>148</v>
      </c>
      <c r="F108" s="38">
        <v>6.79</v>
      </c>
      <c r="G108" s="47">
        <f>F108</f>
        <v>6.79</v>
      </c>
      <c r="H108" s="38">
        <v>100</v>
      </c>
      <c r="I108" s="38">
        <f t="shared" si="8"/>
        <v>0</v>
      </c>
      <c r="J108" s="8"/>
    </row>
    <row r="109" spans="1:10" ht="87.75" customHeight="1">
      <c r="A109" s="8">
        <v>5</v>
      </c>
      <c r="B109" s="19" t="s">
        <v>64</v>
      </c>
      <c r="C109" s="39" t="s">
        <v>161</v>
      </c>
      <c r="D109" s="36" t="s">
        <v>4</v>
      </c>
      <c r="E109" s="40">
        <f>70+81+78+78+80</f>
        <v>387</v>
      </c>
      <c r="F109" s="38">
        <v>0</v>
      </c>
      <c r="G109" s="38">
        <v>0</v>
      </c>
      <c r="H109" s="38">
        <v>0</v>
      </c>
      <c r="I109" s="38">
        <f t="shared" si="8"/>
        <v>0</v>
      </c>
      <c r="J109" s="8"/>
    </row>
    <row r="110" spans="1:10" ht="111.75" customHeight="1">
      <c r="A110" s="8">
        <v>6</v>
      </c>
      <c r="B110" s="19" t="s">
        <v>207</v>
      </c>
      <c r="C110" s="39" t="s">
        <v>164</v>
      </c>
      <c r="D110" s="36"/>
      <c r="E110" s="50">
        <v>0</v>
      </c>
      <c r="F110" s="38">
        <v>0</v>
      </c>
      <c r="G110" s="38">
        <v>0</v>
      </c>
      <c r="H110" s="38">
        <v>0</v>
      </c>
      <c r="I110" s="38">
        <f t="shared" si="8"/>
        <v>0</v>
      </c>
      <c r="J110" s="8"/>
    </row>
    <row r="111" spans="1:10" ht="121.5" customHeight="1">
      <c r="A111" s="8">
        <v>7</v>
      </c>
      <c r="B111" s="24" t="s">
        <v>208</v>
      </c>
      <c r="C111" s="39" t="s">
        <v>161</v>
      </c>
      <c r="D111" s="36" t="s">
        <v>4</v>
      </c>
      <c r="E111" s="40">
        <f>100+197+100+197+197</f>
        <v>791</v>
      </c>
      <c r="F111" s="38">
        <v>88</v>
      </c>
      <c r="G111" s="38">
        <f>F111</f>
        <v>88</v>
      </c>
      <c r="H111" s="38">
        <v>100</v>
      </c>
      <c r="I111" s="38">
        <f>G111-F111</f>
        <v>0</v>
      </c>
      <c r="J111" s="8"/>
    </row>
    <row r="112" spans="1:10" ht="96.75" customHeight="1">
      <c r="A112" s="8">
        <v>8</v>
      </c>
      <c r="B112" s="24" t="s">
        <v>57</v>
      </c>
      <c r="C112" s="39" t="s">
        <v>163</v>
      </c>
      <c r="D112" s="36" t="s">
        <v>4</v>
      </c>
      <c r="E112" s="40">
        <f>22.2+100+86+100+100</f>
        <v>408.2</v>
      </c>
      <c r="F112" s="38">
        <v>0</v>
      </c>
      <c r="G112" s="38">
        <v>0</v>
      </c>
      <c r="H112" s="38">
        <v>0</v>
      </c>
      <c r="I112" s="38">
        <f t="shared" si="8"/>
        <v>0</v>
      </c>
      <c r="J112" s="8"/>
    </row>
    <row r="113" spans="1:10" ht="97.5" customHeight="1">
      <c r="A113" s="8">
        <v>9</v>
      </c>
      <c r="B113" s="24" t="s">
        <v>49</v>
      </c>
      <c r="C113" s="39" t="s">
        <v>161</v>
      </c>
      <c r="D113" s="36" t="s">
        <v>4</v>
      </c>
      <c r="E113" s="40">
        <f>39+48+104+198+150</f>
        <v>539</v>
      </c>
      <c r="F113" s="38">
        <v>0</v>
      </c>
      <c r="G113" s="38">
        <v>0</v>
      </c>
      <c r="H113" s="38">
        <v>0</v>
      </c>
      <c r="I113" s="38">
        <f t="shared" si="8"/>
        <v>0</v>
      </c>
      <c r="J113" s="8"/>
    </row>
    <row r="114" spans="1:10" ht="78" customHeight="1">
      <c r="A114" s="8">
        <v>10</v>
      </c>
      <c r="B114" s="24" t="s">
        <v>34</v>
      </c>
      <c r="C114" s="39" t="s">
        <v>161</v>
      </c>
      <c r="D114" s="36" t="s">
        <v>160</v>
      </c>
      <c r="E114" s="40">
        <f>180+25+25+195+25+115</f>
        <v>565</v>
      </c>
      <c r="F114" s="38">
        <v>0</v>
      </c>
      <c r="G114" s="38">
        <v>0</v>
      </c>
      <c r="H114" s="38">
        <v>0</v>
      </c>
      <c r="I114" s="38">
        <f t="shared" si="8"/>
        <v>0</v>
      </c>
      <c r="J114" s="8"/>
    </row>
    <row r="115" spans="1:10" ht="79.5" customHeight="1">
      <c r="A115" s="8">
        <v>11</v>
      </c>
      <c r="B115" s="24" t="s">
        <v>60</v>
      </c>
      <c r="C115" s="39" t="s">
        <v>161</v>
      </c>
      <c r="D115" s="36" t="s">
        <v>4</v>
      </c>
      <c r="E115" s="40">
        <f>197+197+197</f>
        <v>591</v>
      </c>
      <c r="F115" s="38">
        <v>0</v>
      </c>
      <c r="G115" s="38">
        <v>0</v>
      </c>
      <c r="H115" s="38">
        <v>0</v>
      </c>
      <c r="I115" s="38">
        <f t="shared" si="8"/>
        <v>0</v>
      </c>
      <c r="J115" s="8"/>
    </row>
    <row r="116" spans="1:10" ht="81" customHeight="1">
      <c r="A116" s="8">
        <v>12</v>
      </c>
      <c r="B116" s="24" t="s">
        <v>59</v>
      </c>
      <c r="C116" s="39" t="s">
        <v>161</v>
      </c>
      <c r="D116" s="36" t="s">
        <v>4</v>
      </c>
      <c r="E116" s="40">
        <f>150+150+150</f>
        <v>450</v>
      </c>
      <c r="F116" s="38">
        <v>0</v>
      </c>
      <c r="G116" s="38">
        <v>0</v>
      </c>
      <c r="H116" s="38">
        <v>0</v>
      </c>
      <c r="I116" s="38">
        <f t="shared" si="8"/>
        <v>0</v>
      </c>
      <c r="J116" s="8"/>
    </row>
    <row r="117" spans="1:10" ht="79.5" customHeight="1">
      <c r="A117" s="8">
        <v>13</v>
      </c>
      <c r="B117" s="24" t="s">
        <v>58</v>
      </c>
      <c r="C117" s="39" t="s">
        <v>161</v>
      </c>
      <c r="D117" s="36" t="s">
        <v>4</v>
      </c>
      <c r="E117" s="40">
        <f>30+30+30</f>
        <v>90</v>
      </c>
      <c r="F117" s="38">
        <v>0</v>
      </c>
      <c r="G117" s="38">
        <v>0</v>
      </c>
      <c r="H117" s="38">
        <v>0</v>
      </c>
      <c r="I117" s="38">
        <f>G117-F117</f>
        <v>0</v>
      </c>
      <c r="J117" s="8"/>
    </row>
    <row r="118" spans="1:10" ht="72" customHeight="1">
      <c r="A118" s="8">
        <v>14</v>
      </c>
      <c r="B118" s="24" t="s">
        <v>99</v>
      </c>
      <c r="C118" s="39" t="s">
        <v>161</v>
      </c>
      <c r="D118" s="36" t="s">
        <v>4</v>
      </c>
      <c r="E118" s="40">
        <f>198+50</f>
        <v>248</v>
      </c>
      <c r="F118" s="38">
        <v>0</v>
      </c>
      <c r="G118" s="38">
        <v>0</v>
      </c>
      <c r="H118" s="38">
        <v>0</v>
      </c>
      <c r="I118" s="38">
        <f t="shared" si="8"/>
        <v>0</v>
      </c>
      <c r="J118" s="8"/>
    </row>
    <row r="119" spans="1:10" ht="79.5" customHeight="1">
      <c r="A119" s="8">
        <v>15</v>
      </c>
      <c r="B119" s="24" t="s">
        <v>61</v>
      </c>
      <c r="C119" s="39" t="s">
        <v>161</v>
      </c>
      <c r="D119" s="36" t="s">
        <v>4</v>
      </c>
      <c r="E119" s="40">
        <f>150+150+150</f>
        <v>450</v>
      </c>
      <c r="F119" s="38">
        <v>0</v>
      </c>
      <c r="G119" s="38">
        <v>0</v>
      </c>
      <c r="H119" s="38">
        <v>0</v>
      </c>
      <c r="I119" s="38">
        <f t="shared" si="8"/>
        <v>0</v>
      </c>
      <c r="J119" s="8"/>
    </row>
    <row r="120" spans="1:10" ht="81.75" customHeight="1">
      <c r="A120" s="8">
        <v>16</v>
      </c>
      <c r="B120" s="24" t="s">
        <v>100</v>
      </c>
      <c r="C120" s="39" t="s">
        <v>161</v>
      </c>
      <c r="D120" s="36" t="s">
        <v>4</v>
      </c>
      <c r="E120" s="40">
        <f>25+10</f>
        <v>35</v>
      </c>
      <c r="F120" s="38">
        <v>0</v>
      </c>
      <c r="G120" s="38">
        <v>0</v>
      </c>
      <c r="H120" s="38">
        <v>0</v>
      </c>
      <c r="I120" s="38">
        <f t="shared" si="8"/>
        <v>0</v>
      </c>
      <c r="J120" s="8"/>
    </row>
    <row r="121" spans="1:13" ht="57" customHeight="1">
      <c r="A121" s="8">
        <v>17</v>
      </c>
      <c r="B121" s="24" t="s">
        <v>50</v>
      </c>
      <c r="C121" s="39" t="s">
        <v>161</v>
      </c>
      <c r="D121" s="36" t="s">
        <v>4</v>
      </c>
      <c r="E121" s="40">
        <f>20+20+20</f>
        <v>60</v>
      </c>
      <c r="F121" s="38">
        <v>0</v>
      </c>
      <c r="G121" s="38">
        <v>0</v>
      </c>
      <c r="H121" s="38">
        <v>0</v>
      </c>
      <c r="I121" s="38">
        <f t="shared" si="8"/>
        <v>0</v>
      </c>
      <c r="J121" s="8"/>
      <c r="M121" s="24"/>
    </row>
    <row r="122" spans="1:10" ht="75.75" customHeight="1">
      <c r="A122" s="8">
        <v>18</v>
      </c>
      <c r="B122" s="24" t="s">
        <v>51</v>
      </c>
      <c r="C122" s="39" t="s">
        <v>161</v>
      </c>
      <c r="D122" s="36" t="s">
        <v>4</v>
      </c>
      <c r="E122" s="40">
        <f>45+45+45</f>
        <v>135</v>
      </c>
      <c r="F122" s="38">
        <v>0</v>
      </c>
      <c r="G122" s="38">
        <v>0</v>
      </c>
      <c r="H122" s="38">
        <v>0</v>
      </c>
      <c r="I122" s="38">
        <f t="shared" si="8"/>
        <v>0</v>
      </c>
      <c r="J122" s="8"/>
    </row>
    <row r="123" spans="1:10" ht="75.75" customHeight="1">
      <c r="A123" s="8">
        <v>19</v>
      </c>
      <c r="B123" s="24" t="s">
        <v>52</v>
      </c>
      <c r="C123" s="39" t="s">
        <v>161</v>
      </c>
      <c r="D123" s="36" t="s">
        <v>4</v>
      </c>
      <c r="E123" s="40">
        <f>46+46+46</f>
        <v>138</v>
      </c>
      <c r="F123" s="38">
        <v>0</v>
      </c>
      <c r="G123" s="38">
        <v>0</v>
      </c>
      <c r="H123" s="38">
        <v>0</v>
      </c>
      <c r="I123" s="38">
        <f>G123-F123</f>
        <v>0</v>
      </c>
      <c r="J123" s="8"/>
    </row>
    <row r="124" spans="1:10" ht="87" customHeight="1">
      <c r="A124" s="8">
        <v>20</v>
      </c>
      <c r="B124" s="24" t="s">
        <v>53</v>
      </c>
      <c r="C124" s="39" t="s">
        <v>161</v>
      </c>
      <c r="D124" s="36" t="s">
        <v>4</v>
      </c>
      <c r="E124" s="40">
        <f>100+150+100</f>
        <v>350</v>
      </c>
      <c r="F124" s="38">
        <v>0</v>
      </c>
      <c r="G124" s="38">
        <v>0</v>
      </c>
      <c r="H124" s="38">
        <v>0</v>
      </c>
      <c r="I124" s="38">
        <f t="shared" si="8"/>
        <v>0</v>
      </c>
      <c r="J124" s="8"/>
    </row>
    <row r="125" spans="1:10" ht="81" customHeight="1">
      <c r="A125" s="8">
        <v>21</v>
      </c>
      <c r="B125" s="24" t="s">
        <v>209</v>
      </c>
      <c r="C125" s="39" t="s">
        <v>161</v>
      </c>
      <c r="D125" s="36" t="s">
        <v>4</v>
      </c>
      <c r="E125" s="40">
        <f>100+150+100</f>
        <v>350</v>
      </c>
      <c r="F125" s="38">
        <v>0</v>
      </c>
      <c r="G125" s="38">
        <v>0</v>
      </c>
      <c r="H125" s="38">
        <v>0</v>
      </c>
      <c r="I125" s="38">
        <f>G125-F125</f>
        <v>0</v>
      </c>
      <c r="J125" s="8"/>
    </row>
    <row r="126" spans="1:10" ht="130.5" customHeight="1">
      <c r="A126" s="8">
        <v>22</v>
      </c>
      <c r="B126" s="24" t="s">
        <v>165</v>
      </c>
      <c r="C126" s="39" t="s">
        <v>166</v>
      </c>
      <c r="D126" s="36"/>
      <c r="E126" s="50">
        <v>0</v>
      </c>
      <c r="F126" s="47">
        <v>0</v>
      </c>
      <c r="G126" s="47">
        <v>0</v>
      </c>
      <c r="H126" s="47">
        <v>0</v>
      </c>
      <c r="I126" s="38">
        <f t="shared" si="8"/>
        <v>0</v>
      </c>
      <c r="J126" s="8"/>
    </row>
    <row r="127" spans="1:10" ht="58.5" customHeight="1">
      <c r="A127" s="8">
        <v>23</v>
      </c>
      <c r="B127" s="24" t="s">
        <v>168</v>
      </c>
      <c r="C127" s="39" t="s">
        <v>167</v>
      </c>
      <c r="D127" s="36"/>
      <c r="E127" s="50">
        <v>0</v>
      </c>
      <c r="F127" s="47">
        <v>0</v>
      </c>
      <c r="G127" s="47">
        <v>0</v>
      </c>
      <c r="H127" s="47">
        <v>0</v>
      </c>
      <c r="I127" s="38">
        <f t="shared" si="8"/>
        <v>0</v>
      </c>
      <c r="J127" s="8"/>
    </row>
    <row r="128" spans="1:10" ht="81" customHeight="1">
      <c r="A128" s="8">
        <v>24</v>
      </c>
      <c r="B128" s="24" t="s">
        <v>169</v>
      </c>
      <c r="C128" s="39" t="s">
        <v>170</v>
      </c>
      <c r="D128" s="36"/>
      <c r="E128" s="50">
        <v>0</v>
      </c>
      <c r="F128" s="47">
        <v>0</v>
      </c>
      <c r="G128" s="47">
        <v>0</v>
      </c>
      <c r="H128" s="47">
        <v>0</v>
      </c>
      <c r="I128" s="38">
        <f>G128-F128</f>
        <v>0</v>
      </c>
      <c r="J128" s="8"/>
    </row>
    <row r="129" spans="1:10" ht="113.25" customHeight="1">
      <c r="A129" s="8">
        <v>25</v>
      </c>
      <c r="B129" s="24" t="s">
        <v>171</v>
      </c>
      <c r="C129" s="39" t="s">
        <v>172</v>
      </c>
      <c r="D129" s="36"/>
      <c r="E129" s="50">
        <v>0</v>
      </c>
      <c r="F129" s="47">
        <v>0</v>
      </c>
      <c r="G129" s="47">
        <v>0</v>
      </c>
      <c r="H129" s="47">
        <v>0</v>
      </c>
      <c r="I129" s="38">
        <f t="shared" si="8"/>
        <v>0</v>
      </c>
      <c r="J129" s="8"/>
    </row>
    <row r="130" spans="1:10" ht="42" customHeight="1">
      <c r="A130" s="8">
        <v>26</v>
      </c>
      <c r="B130" s="24" t="s">
        <v>173</v>
      </c>
      <c r="C130" s="39" t="s">
        <v>109</v>
      </c>
      <c r="D130" s="36"/>
      <c r="E130" s="50">
        <v>0</v>
      </c>
      <c r="F130" s="47">
        <v>0</v>
      </c>
      <c r="G130" s="47">
        <v>0</v>
      </c>
      <c r="H130" s="47">
        <v>0</v>
      </c>
      <c r="I130" s="38">
        <f t="shared" si="8"/>
        <v>0</v>
      </c>
      <c r="J130" s="8"/>
    </row>
    <row r="131" spans="1:10" ht="59.25" customHeight="1">
      <c r="A131" s="8">
        <v>27</v>
      </c>
      <c r="B131" s="24" t="s">
        <v>174</v>
      </c>
      <c r="C131" s="39" t="s">
        <v>175</v>
      </c>
      <c r="D131" s="36"/>
      <c r="E131" s="50">
        <v>0</v>
      </c>
      <c r="F131" s="47">
        <v>0</v>
      </c>
      <c r="G131" s="47">
        <v>0</v>
      </c>
      <c r="H131" s="47">
        <v>0</v>
      </c>
      <c r="I131" s="38">
        <f t="shared" si="8"/>
        <v>0</v>
      </c>
      <c r="J131" s="8"/>
    </row>
    <row r="132" spans="1:10" ht="57" customHeight="1">
      <c r="A132" s="8">
        <v>28</v>
      </c>
      <c r="B132" s="24" t="s">
        <v>176</v>
      </c>
      <c r="C132" s="39" t="s">
        <v>175</v>
      </c>
      <c r="D132" s="36"/>
      <c r="E132" s="50">
        <v>0</v>
      </c>
      <c r="F132" s="47">
        <v>0</v>
      </c>
      <c r="G132" s="47">
        <v>0</v>
      </c>
      <c r="H132" s="47">
        <v>0</v>
      </c>
      <c r="I132" s="38">
        <f t="shared" si="8"/>
        <v>0</v>
      </c>
      <c r="J132" s="8"/>
    </row>
    <row r="133" spans="1:10" ht="57" customHeight="1">
      <c r="A133" s="8">
        <v>29</v>
      </c>
      <c r="B133" s="24" t="s">
        <v>177</v>
      </c>
      <c r="C133" s="39" t="s">
        <v>175</v>
      </c>
      <c r="D133" s="36"/>
      <c r="E133" s="50">
        <v>0</v>
      </c>
      <c r="F133" s="47">
        <v>0</v>
      </c>
      <c r="G133" s="47">
        <v>0</v>
      </c>
      <c r="H133" s="47">
        <v>0</v>
      </c>
      <c r="I133" s="38">
        <f t="shared" si="8"/>
        <v>0</v>
      </c>
      <c r="J133" s="8"/>
    </row>
    <row r="134" spans="1:10" ht="72" customHeight="1">
      <c r="A134" s="8">
        <v>30</v>
      </c>
      <c r="B134" s="24" t="s">
        <v>179</v>
      </c>
      <c r="C134" s="39" t="s">
        <v>178</v>
      </c>
      <c r="D134" s="36"/>
      <c r="E134" s="50">
        <v>0</v>
      </c>
      <c r="F134" s="47">
        <v>0</v>
      </c>
      <c r="G134" s="47">
        <v>0</v>
      </c>
      <c r="H134" s="47">
        <v>0</v>
      </c>
      <c r="I134" s="38">
        <f>G134-F134</f>
        <v>0</v>
      </c>
      <c r="J134" s="8"/>
    </row>
    <row r="135" spans="1:10" ht="66" customHeight="1">
      <c r="A135" s="8">
        <v>31</v>
      </c>
      <c r="B135" s="24" t="s">
        <v>180</v>
      </c>
      <c r="C135" s="39" t="s">
        <v>175</v>
      </c>
      <c r="D135" s="36"/>
      <c r="E135" s="50">
        <v>0</v>
      </c>
      <c r="F135" s="47">
        <v>0</v>
      </c>
      <c r="G135" s="47">
        <v>0</v>
      </c>
      <c r="H135" s="47">
        <v>0</v>
      </c>
      <c r="I135" s="38">
        <f t="shared" si="8"/>
        <v>0</v>
      </c>
      <c r="J135" s="8"/>
    </row>
    <row r="136" spans="1:10" ht="79.5" customHeight="1">
      <c r="A136" s="8">
        <v>32</v>
      </c>
      <c r="B136" s="24" t="s">
        <v>181</v>
      </c>
      <c r="C136" s="39" t="s">
        <v>182</v>
      </c>
      <c r="D136" s="36"/>
      <c r="E136" s="50">
        <v>0</v>
      </c>
      <c r="F136" s="47">
        <v>0</v>
      </c>
      <c r="G136" s="47">
        <v>0</v>
      </c>
      <c r="H136" s="47">
        <v>0</v>
      </c>
      <c r="I136" s="38">
        <f t="shared" si="8"/>
        <v>0</v>
      </c>
      <c r="J136" s="8"/>
    </row>
    <row r="137" spans="1:10" ht="78" customHeight="1">
      <c r="A137" s="8">
        <v>33</v>
      </c>
      <c r="B137" s="24" t="s">
        <v>183</v>
      </c>
      <c r="C137" s="39" t="s">
        <v>178</v>
      </c>
      <c r="D137" s="36"/>
      <c r="E137" s="50">
        <v>0</v>
      </c>
      <c r="F137" s="47">
        <v>0</v>
      </c>
      <c r="G137" s="47">
        <v>0</v>
      </c>
      <c r="H137" s="47">
        <v>0</v>
      </c>
      <c r="I137" s="38">
        <f t="shared" si="8"/>
        <v>0</v>
      </c>
      <c r="J137" s="8"/>
    </row>
    <row r="138" spans="1:10" ht="57" customHeight="1">
      <c r="A138" s="8">
        <v>34</v>
      </c>
      <c r="B138" s="24" t="s">
        <v>184</v>
      </c>
      <c r="C138" s="39" t="s">
        <v>185</v>
      </c>
      <c r="D138" s="14" t="s">
        <v>136</v>
      </c>
      <c r="E138" s="40">
        <v>75</v>
      </c>
      <c r="F138" s="47">
        <v>0</v>
      </c>
      <c r="G138" s="47">
        <v>0</v>
      </c>
      <c r="H138" s="47">
        <v>0</v>
      </c>
      <c r="I138" s="38">
        <f t="shared" si="8"/>
        <v>0</v>
      </c>
      <c r="J138" s="8"/>
    </row>
    <row r="139" spans="1:10" ht="53.25" customHeight="1">
      <c r="A139" s="8">
        <v>35</v>
      </c>
      <c r="B139" s="24" t="s">
        <v>186</v>
      </c>
      <c r="C139" s="39" t="s">
        <v>187</v>
      </c>
      <c r="D139" s="14" t="s">
        <v>136</v>
      </c>
      <c r="E139" s="40">
        <v>26</v>
      </c>
      <c r="F139" s="47">
        <v>0</v>
      </c>
      <c r="G139" s="47">
        <v>0</v>
      </c>
      <c r="H139" s="47">
        <v>0</v>
      </c>
      <c r="I139" s="38">
        <f>G139-F139</f>
        <v>0</v>
      </c>
      <c r="J139" s="8"/>
    </row>
    <row r="140" spans="1:10" ht="96.75" customHeight="1">
      <c r="A140" s="8">
        <v>36</v>
      </c>
      <c r="B140" s="24" t="s">
        <v>188</v>
      </c>
      <c r="C140" s="39" t="s">
        <v>189</v>
      </c>
      <c r="D140" s="14" t="s">
        <v>136</v>
      </c>
      <c r="E140" s="40">
        <v>50</v>
      </c>
      <c r="F140" s="47">
        <v>0</v>
      </c>
      <c r="G140" s="47">
        <v>0</v>
      </c>
      <c r="H140" s="47">
        <v>0</v>
      </c>
      <c r="I140" s="38">
        <f t="shared" si="8"/>
        <v>0</v>
      </c>
      <c r="J140" s="8"/>
    </row>
    <row r="141" spans="1:10" ht="113.25" customHeight="1">
      <c r="A141" s="8">
        <v>37</v>
      </c>
      <c r="B141" s="24" t="s">
        <v>190</v>
      </c>
      <c r="C141" s="39" t="s">
        <v>189</v>
      </c>
      <c r="D141" s="14" t="s">
        <v>136</v>
      </c>
      <c r="E141" s="40">
        <v>500</v>
      </c>
      <c r="F141" s="47">
        <v>0</v>
      </c>
      <c r="G141" s="47">
        <v>0</v>
      </c>
      <c r="H141" s="47">
        <v>0</v>
      </c>
      <c r="I141" s="38">
        <f t="shared" si="8"/>
        <v>0</v>
      </c>
      <c r="J141" s="8"/>
    </row>
    <row r="142" spans="1:10" ht="93" customHeight="1">
      <c r="A142" s="8">
        <v>38</v>
      </c>
      <c r="B142" s="24" t="s">
        <v>191</v>
      </c>
      <c r="C142" s="39" t="s">
        <v>189</v>
      </c>
      <c r="D142" s="14" t="s">
        <v>136</v>
      </c>
      <c r="E142" s="40">
        <v>80</v>
      </c>
      <c r="F142" s="47">
        <v>0</v>
      </c>
      <c r="G142" s="47">
        <v>0</v>
      </c>
      <c r="H142" s="47">
        <v>0</v>
      </c>
      <c r="I142" s="38">
        <f t="shared" si="8"/>
        <v>0</v>
      </c>
      <c r="J142" s="8"/>
    </row>
    <row r="143" spans="1:10" ht="73.5" customHeight="1">
      <c r="A143" s="8">
        <v>39</v>
      </c>
      <c r="B143" s="24" t="s">
        <v>192</v>
      </c>
      <c r="C143" s="39" t="s">
        <v>193</v>
      </c>
      <c r="D143" s="14" t="s">
        <v>136</v>
      </c>
      <c r="E143" s="40">
        <v>200</v>
      </c>
      <c r="F143" s="47">
        <v>0</v>
      </c>
      <c r="G143" s="47">
        <v>0</v>
      </c>
      <c r="H143" s="47">
        <v>0</v>
      </c>
      <c r="I143" s="38">
        <f t="shared" si="8"/>
        <v>0</v>
      </c>
      <c r="J143" s="8"/>
    </row>
    <row r="144" spans="1:10" ht="59.25" customHeight="1">
      <c r="A144" s="8">
        <v>40</v>
      </c>
      <c r="B144" s="24" t="s">
        <v>194</v>
      </c>
      <c r="C144" s="39" t="s">
        <v>195</v>
      </c>
      <c r="D144" s="14" t="s">
        <v>136</v>
      </c>
      <c r="E144" s="40">
        <v>200</v>
      </c>
      <c r="F144" s="47">
        <v>0</v>
      </c>
      <c r="G144" s="47">
        <v>0</v>
      </c>
      <c r="H144" s="47">
        <v>0</v>
      </c>
      <c r="I144" s="38">
        <f>G144-F144</f>
        <v>0</v>
      </c>
      <c r="J144" s="8"/>
    </row>
    <row r="145" spans="1:10" ht="60.75" customHeight="1">
      <c r="A145" s="8">
        <v>41</v>
      </c>
      <c r="B145" s="24" t="s">
        <v>196</v>
      </c>
      <c r="C145" s="39" t="s">
        <v>195</v>
      </c>
      <c r="D145" s="14" t="s">
        <v>136</v>
      </c>
      <c r="E145" s="40">
        <v>300</v>
      </c>
      <c r="F145" s="47">
        <v>0</v>
      </c>
      <c r="G145" s="47">
        <v>0</v>
      </c>
      <c r="H145" s="47">
        <v>0</v>
      </c>
      <c r="I145" s="38">
        <f t="shared" si="8"/>
        <v>0</v>
      </c>
      <c r="J145" s="8"/>
    </row>
    <row r="146" spans="1:10" ht="57" customHeight="1">
      <c r="A146" s="8">
        <v>42</v>
      </c>
      <c r="B146" s="24" t="s">
        <v>101</v>
      </c>
      <c r="C146" s="14" t="s">
        <v>199</v>
      </c>
      <c r="D146" s="36" t="s">
        <v>4</v>
      </c>
      <c r="E146" s="40">
        <v>70</v>
      </c>
      <c r="F146" s="47">
        <v>70</v>
      </c>
      <c r="G146" s="47">
        <f>F146</f>
        <v>70</v>
      </c>
      <c r="H146" s="47">
        <v>100</v>
      </c>
      <c r="I146" s="38">
        <f t="shared" si="8"/>
        <v>0</v>
      </c>
      <c r="J146" s="8"/>
    </row>
    <row r="147" spans="1:10" ht="91.5" customHeight="1">
      <c r="A147" s="8">
        <v>43</v>
      </c>
      <c r="B147" s="24" t="s">
        <v>102</v>
      </c>
      <c r="C147" s="39" t="s">
        <v>161</v>
      </c>
      <c r="D147" s="36" t="s">
        <v>4</v>
      </c>
      <c r="E147" s="40">
        <f>6200-1500</f>
        <v>4700</v>
      </c>
      <c r="F147" s="47">
        <v>3847.02</v>
      </c>
      <c r="G147" s="47">
        <f>F147</f>
        <v>3847.02</v>
      </c>
      <c r="H147" s="47">
        <v>100</v>
      </c>
      <c r="I147" s="38">
        <f t="shared" si="8"/>
        <v>0</v>
      </c>
      <c r="J147" s="8"/>
    </row>
    <row r="148" spans="1:10" ht="75.75" customHeight="1">
      <c r="A148" s="8">
        <v>44</v>
      </c>
      <c r="B148" s="24" t="s">
        <v>106</v>
      </c>
      <c r="C148" s="39" t="s">
        <v>161</v>
      </c>
      <c r="D148" s="36" t="s">
        <v>4</v>
      </c>
      <c r="E148" s="40">
        <v>1500</v>
      </c>
      <c r="F148" s="47">
        <v>0</v>
      </c>
      <c r="G148" s="47">
        <v>0</v>
      </c>
      <c r="H148" s="47">
        <v>0</v>
      </c>
      <c r="I148" s="38">
        <f t="shared" si="8"/>
        <v>0</v>
      </c>
      <c r="J148" s="8"/>
    </row>
    <row r="149" spans="1:12" s="7" customFormat="1" ht="18.75">
      <c r="A149" s="4" t="s">
        <v>5</v>
      </c>
      <c r="B149" s="4"/>
      <c r="C149" s="4"/>
      <c r="D149" s="4"/>
      <c r="E149" s="28">
        <f>E7+E8+E9+E10+E11+E12+E13+E14+E19+E20+E21+E22+E23+E27+E28+E29+E30+E31+E32+E33+E34+E35+E37+E39+E40+E41+E42+E43+E47+E48+E50+E51+E53+E54+E55+E56+E57+E58+E59+E60+E61+E62+E63+E64+E81+E82+E83+E85+E86+E87+E88+E89+E90+E91+E92+E93+E94+E95+E96+E97+E102+E105+E106+E107+E108+E109+E111+E112+E113+E114+E115+E116+E117+E119+E121+E122+E123+E124+E125+E15+E24+E25+E44+E45+E49+E65+E118+E120+E146+E147+E16+E17+E103+E148+E52+E66+E67+E68+E69+E70+E71+E72+E73+E74+E75+E76+E77+E78+E79+E80+E98+E99+E100+E101+E138+E139+E140+E141+E142+E143+E144+E145</f>
        <v>1195763.8</v>
      </c>
      <c r="F149" s="28">
        <f>F7+F8+F9+F10+F11+F12+F13+F14+F19+F20+F21+F22+F23+F27+F28+F29+F30+F31+F32+F33+F34+F35+F37+F39+F40+F41+F42+F43+F47+F48+F50+F51+F53+F54+F55+F56+F57+F58+F59+F60+F61+F62+F63+F64+F81+F82+F83+F85+F86+F87+F88+F89+F90+F91+F92+F93+F94+F95+F96+F97+F102+F105+F106+F107+F108+F109+F111+F112+F113+F114+F115+F116+F117+F119+F121+F122+F123+F124+F125+F15+F24+F25+F44+F45+F49+F65+F118+F120+F146+F147+F16+F17+F103+F148</f>
        <v>742641.1450000001</v>
      </c>
      <c r="G149" s="28">
        <f>G7+G8+G9+G10+G11+G12+G13+G14+G19+G20+G21+G22+G23+G27+G28+G29+G30+G31+G32+G33+G34+G35+G37+G39+G40+G41+G42+G43+G47+G48+G50+G51+G53+G54+G55+G56+G57+G58+G59+G60+G61+G62+G63+G64+G81+G82+G83+G85+G86+G87+G88+G89+G90+G91+G92+G93+G94+G95+G96+G97+G102+G105+G106+G107+G108+G109+G111+G112+G113+G114+G115+G116+G117+G119+G121+G122+G123+G124+G125+G15+G24+G25+G44+G45+G49+G65+G118+G120+G146+G147+G16+G17+G103+G148</f>
        <v>742012.929</v>
      </c>
      <c r="H149" s="28">
        <f>G149/F149*100</f>
        <v>99.91540786499243</v>
      </c>
      <c r="I149" s="18">
        <f>G149-F149</f>
        <v>-628.2160000001313</v>
      </c>
      <c r="J149" s="18"/>
      <c r="K149" s="13"/>
      <c r="L149" s="13"/>
    </row>
    <row r="150" spans="5:12" ht="18.75">
      <c r="E150" s="16"/>
      <c r="I150" s="11"/>
      <c r="K150" s="17"/>
      <c r="L150" s="17"/>
    </row>
    <row r="151" spans="2:12" ht="18.75">
      <c r="B151" s="1" t="s">
        <v>67</v>
      </c>
      <c r="G151" s="1" t="s">
        <v>66</v>
      </c>
      <c r="K151" s="17"/>
      <c r="L151" s="17"/>
    </row>
    <row r="152" ht="18.75">
      <c r="E152" s="16"/>
    </row>
    <row r="153" ht="18.75">
      <c r="I153" s="35"/>
    </row>
    <row r="154" spans="5:7" ht="18.75">
      <c r="E154" s="16"/>
      <c r="F154" s="31"/>
      <c r="G154" s="31"/>
    </row>
    <row r="155" spans="5:10" ht="18.75">
      <c r="E155" s="16"/>
      <c r="F155" s="31"/>
      <c r="G155" s="31"/>
      <c r="J155" s="17"/>
    </row>
    <row r="156" spans="5:10" ht="18.75">
      <c r="E156" s="16"/>
      <c r="F156" s="31"/>
      <c r="G156" s="31"/>
      <c r="J156" s="17"/>
    </row>
    <row r="157" ht="18.75">
      <c r="E157" s="16"/>
    </row>
    <row r="159" ht="18.75">
      <c r="E159" s="16"/>
    </row>
  </sheetData>
  <sheetProtection/>
  <mergeCells count="21">
    <mergeCell ref="B104:J104"/>
    <mergeCell ref="B6:J6"/>
    <mergeCell ref="B46:J46"/>
    <mergeCell ref="B36:J36"/>
    <mergeCell ref="B18:J18"/>
    <mergeCell ref="A3:A4"/>
    <mergeCell ref="G3:G4"/>
    <mergeCell ref="A66:A70"/>
    <mergeCell ref="C66:C70"/>
    <mergeCell ref="B84:J84"/>
    <mergeCell ref="B3:B4"/>
    <mergeCell ref="B26:J26"/>
    <mergeCell ref="F3:F4"/>
    <mergeCell ref="A1:J2"/>
    <mergeCell ref="H3:H4"/>
    <mergeCell ref="I3:I4"/>
    <mergeCell ref="J3:J4"/>
    <mergeCell ref="A5:J5"/>
    <mergeCell ref="E3:E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  <rowBreaks count="5" manualBreakCount="5">
    <brk id="17" max="9" man="1"/>
    <brk id="33" max="9" man="1"/>
    <brk id="49" max="9" man="1"/>
    <brk id="94" max="9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2024-01-25T09:47:20Z</cp:lastPrinted>
  <dcterms:created xsi:type="dcterms:W3CDTF">2013-07-22T09:28:53Z</dcterms:created>
  <dcterms:modified xsi:type="dcterms:W3CDTF">2024-01-25T09:48:04Z</dcterms:modified>
  <cp:category/>
  <cp:version/>
  <cp:contentType/>
  <cp:contentStatus/>
</cp:coreProperties>
</file>